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ЮниКредит\"/>
    </mc:Choice>
  </mc:AlternateContent>
  <xr:revisionPtr revIDLastSave="0" documentId="13_ncr:1_{56147C86-26EE-43DA-9D17-09B34A8BD7DC}" xr6:coauthVersionLast="45" xr6:coauthVersionMax="45" xr10:uidLastSave="{00000000-0000-0000-0000-000000000000}"/>
  <bookViews>
    <workbookView xWindow="-108" yWindow="-108" windowWidth="23256" windowHeight="13176" xr2:uid="{13F647A2-13D2-47FC-BE03-8322ED1DCB9D}"/>
  </bookViews>
  <sheets>
    <sheet name="Задач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2" i="1" l="1"/>
  <c r="E72" i="1" s="1"/>
  <c r="H70" i="1"/>
  <c r="D70" i="1"/>
  <c r="F72" i="1" s="1"/>
  <c r="E68" i="1"/>
  <c r="D68" i="1" s="1"/>
  <c r="G72" i="1" l="1"/>
  <c r="G68" i="1"/>
  <c r="H72" i="1"/>
  <c r="H61" i="1"/>
  <c r="D61" i="1"/>
  <c r="G63" i="1" s="1"/>
  <c r="D63" i="1"/>
  <c r="H63" i="1" s="1"/>
  <c r="F63" i="1" l="1"/>
  <c r="H68" i="1"/>
  <c r="F68" i="1"/>
  <c r="E63" i="1"/>
  <c r="F52" i="1"/>
  <c r="E52" i="1"/>
  <c r="E46" i="1"/>
  <c r="D45" i="1" l="1"/>
  <c r="E45" i="1"/>
  <c r="F45" i="1" s="1"/>
  <c r="D40" i="1"/>
  <c r="E40" i="1"/>
  <c r="E33" i="1"/>
  <c r="D33" i="1"/>
  <c r="G33" i="1" l="1"/>
  <c r="D14" i="1"/>
  <c r="C78" i="1" l="1"/>
  <c r="H101" i="1"/>
  <c r="H97" i="1"/>
  <c r="E95" i="1"/>
  <c r="E59" i="1"/>
  <c r="G59" i="1" s="1"/>
  <c r="F59" i="1" s="1"/>
  <c r="E100" i="1"/>
  <c r="F100" i="1"/>
  <c r="G100" i="1"/>
  <c r="G95" i="1"/>
  <c r="F95" i="1"/>
  <c r="D96" i="1"/>
  <c r="H83" i="1"/>
  <c r="H92" i="1"/>
  <c r="G90" i="1"/>
  <c r="F90" i="1"/>
  <c r="F81" i="1"/>
  <c r="H82" i="1"/>
  <c r="G81" i="1"/>
  <c r="F78" i="1"/>
  <c r="D78" i="1" s="1"/>
  <c r="C101" i="1"/>
  <c r="E101" i="1" s="1"/>
  <c r="D100" i="1"/>
  <c r="C82" i="1"/>
  <c r="E82" i="1" s="1"/>
  <c r="F82" i="1" s="1"/>
  <c r="D82" i="1" s="1"/>
  <c r="D81" i="1"/>
  <c r="C96" i="1"/>
  <c r="C97" i="1" s="1"/>
  <c r="E97" i="1" s="1"/>
  <c r="D95" i="1"/>
  <c r="F77" i="1"/>
  <c r="C91" i="1"/>
  <c r="D90" i="1"/>
  <c r="G78" i="1"/>
  <c r="D77" i="1"/>
  <c r="D52" i="1"/>
  <c r="E26" i="1"/>
  <c r="G26" i="1" s="1"/>
  <c r="D21" i="1"/>
  <c r="F21" i="1" s="1"/>
  <c r="F4" i="1"/>
  <c r="F9" i="1"/>
  <c r="D91" i="1" l="1"/>
  <c r="H79" i="1"/>
  <c r="G79" i="1"/>
  <c r="F79" i="1"/>
  <c r="F83" i="1"/>
  <c r="E91" i="1"/>
  <c r="F91" i="1" s="1"/>
  <c r="E96" i="1"/>
  <c r="F96" i="1" s="1"/>
  <c r="F101" i="1"/>
  <c r="D101" i="1" s="1"/>
  <c r="D102" i="1" s="1"/>
  <c r="D59" i="1"/>
  <c r="D79" i="1"/>
  <c r="C92" i="1"/>
  <c r="E92" i="1" s="1"/>
  <c r="H59" i="1"/>
  <c r="F102" i="1" l="1"/>
  <c r="G91" i="1"/>
  <c r="G82" i="1"/>
  <c r="G83" i="1" s="1"/>
  <c r="D83" i="1"/>
  <c r="G101" i="1"/>
  <c r="G102" i="1" s="1"/>
  <c r="G96" i="1"/>
  <c r="H91" i="1" l="1"/>
  <c r="F92" i="1" s="1"/>
  <c r="F93" i="1" s="1"/>
  <c r="H96" i="1"/>
  <c r="F97" i="1" s="1"/>
  <c r="F98" i="1" s="1"/>
  <c r="D92" i="1" l="1"/>
  <c r="G92" i="1" s="1"/>
  <c r="G93" i="1" s="1"/>
  <c r="D97" i="1"/>
  <c r="E93" i="1" l="1"/>
  <c r="D93" i="1"/>
  <c r="E98" i="1"/>
  <c r="D98" i="1"/>
  <c r="G97" i="1"/>
  <c r="G98" i="1" s="1"/>
</calcChain>
</file>

<file path=xl/sharedStrings.xml><?xml version="1.0" encoding="utf-8"?>
<sst xmlns="http://schemas.openxmlformats.org/spreadsheetml/2006/main" count="238" uniqueCount="166">
  <si>
    <t>НДФЛ 13%</t>
  </si>
  <si>
    <t>Огурцы</t>
  </si>
  <si>
    <t>Задача №1</t>
  </si>
  <si>
    <t>Задача №2</t>
  </si>
  <si>
    <t>Задача №3</t>
  </si>
  <si>
    <t>Задача №4</t>
  </si>
  <si>
    <t>Сдача квартиры</t>
  </si>
  <si>
    <t>Вы купили товар стоимостью 600 рублей, в котором заложен НДС 20%. Вопрос: Сколько в рублях сам НДС?</t>
  </si>
  <si>
    <t>Найти</t>
  </si>
  <si>
    <t>Составляет</t>
  </si>
  <si>
    <t>Задача №5</t>
  </si>
  <si>
    <t>Задача №6</t>
  </si>
  <si>
    <t>НДС +20%</t>
  </si>
  <si>
    <t>Условие задачи</t>
  </si>
  <si>
    <t>Задача №7</t>
  </si>
  <si>
    <t>Эквивалентный множитель</t>
  </si>
  <si>
    <t>Задача №8</t>
  </si>
  <si>
    <t>Задача №9</t>
  </si>
  <si>
    <t>Название задачи</t>
  </si>
  <si>
    <t>Оклад подчиненного</t>
  </si>
  <si>
    <t>Дата</t>
  </si>
  <si>
    <t>Задача №10</t>
  </si>
  <si>
    <t>Как хотел начальник (Правильное решение)</t>
  </si>
  <si>
    <t>Как сделал подчиненный (Неправильное решение)</t>
  </si>
  <si>
    <t>Погашение процентов</t>
  </si>
  <si>
    <t>Погашение основного долга</t>
  </si>
  <si>
    <t>Остаток основного долга</t>
  </si>
  <si>
    <t>0,00 ₽</t>
  </si>
  <si>
    <t>Σ=</t>
  </si>
  <si>
    <t>График платежей в Договоре</t>
  </si>
  <si>
    <t>Банк посчитал досрочное погашение (неправильно)</t>
  </si>
  <si>
    <r>
      <t xml:space="preserve">В 1995 году заёмщик взял потребительский кредит 10 млн рублей в </t>
    </r>
    <r>
      <rPr>
        <b/>
        <sz val="11"/>
        <color theme="1"/>
        <rFont val="Calibri"/>
        <family val="2"/>
        <charset val="204"/>
        <scheme val="minor"/>
      </rPr>
      <t>банке</t>
    </r>
    <r>
      <rPr>
        <sz val="11"/>
        <color theme="1"/>
        <rFont val="Calibri"/>
        <family val="2"/>
        <charset val="204"/>
        <scheme val="minor"/>
      </rPr>
      <t xml:space="preserve"> под 224% годовых на 1 год, с возвратом - одним платежом. И спросил у </t>
    </r>
    <r>
      <rPr>
        <b/>
        <sz val="11"/>
        <color theme="1"/>
        <rFont val="Calibri"/>
        <family val="2"/>
        <charset val="204"/>
        <scheme val="minor"/>
      </rPr>
      <t>банка</t>
    </r>
    <r>
      <rPr>
        <sz val="11"/>
        <color theme="1"/>
        <rFont val="Calibri"/>
        <family val="2"/>
        <charset val="204"/>
        <scheme val="minor"/>
      </rPr>
      <t xml:space="preserve">: "А можно я погашу досрочно кредит через полгода? Если за год </t>
    </r>
    <r>
      <rPr>
        <b/>
        <sz val="11"/>
        <color theme="1"/>
        <rFont val="Calibri"/>
        <family val="2"/>
        <charset val="204"/>
        <scheme val="minor"/>
      </rPr>
      <t>Банк</t>
    </r>
    <r>
      <rPr>
        <sz val="11"/>
        <color theme="1"/>
        <rFont val="Calibri"/>
        <family val="2"/>
        <charset val="204"/>
        <scheme val="minor"/>
      </rPr>
      <t xml:space="preserve"> забирает 224%, то сколько будет за полгода?" </t>
    </r>
    <r>
      <rPr>
        <b/>
        <sz val="11"/>
        <color theme="1"/>
        <rFont val="Calibri"/>
        <family val="2"/>
        <charset val="204"/>
        <scheme val="minor"/>
      </rPr>
      <t>Банк</t>
    </r>
    <r>
      <rPr>
        <sz val="11"/>
        <color theme="1"/>
        <rFont val="Calibri"/>
        <family val="2"/>
        <charset val="204"/>
        <scheme val="minor"/>
      </rPr>
      <t xml:space="preserve"> очень быстро посчитал: "112% за полгода". </t>
    </r>
    <r>
      <rPr>
        <b/>
        <sz val="11"/>
        <color theme="1"/>
        <rFont val="Calibri"/>
        <family val="2"/>
        <charset val="204"/>
        <scheme val="minor"/>
      </rPr>
      <t>Вопрос:</t>
    </r>
    <r>
      <rPr>
        <sz val="11"/>
        <color theme="1"/>
        <rFont val="Calibri"/>
        <family val="2"/>
        <charset val="204"/>
        <scheme val="minor"/>
      </rPr>
      <t xml:space="preserve"> Сколько в итоге выплатил заёмщик Банку?</t>
    </r>
  </si>
  <si>
    <t>Процент за год</t>
  </si>
  <si>
    <t>Задача №11</t>
  </si>
  <si>
    <r>
      <t>Вы хотите получить с покупателя за товар 10000 рублей.</t>
    </r>
    <r>
      <rPr>
        <b/>
        <sz val="11"/>
        <color theme="1"/>
        <rFont val="Calibri"/>
        <family val="2"/>
        <charset val="204"/>
        <scheme val="minor"/>
      </rPr>
      <t xml:space="preserve"> Вопрос: </t>
    </r>
    <r>
      <rPr>
        <sz val="11"/>
        <color theme="1"/>
        <rFont val="Calibri"/>
        <family val="2"/>
        <charset val="204"/>
        <scheme val="minor"/>
      </rPr>
      <t>Какую цену надо выставить на товар, чтобы оплатить НДС 20%?</t>
    </r>
  </si>
  <si>
    <r>
      <t>Вы получили доход 1000 рублей (значение)</t>
    </r>
    <r>
      <rPr>
        <b/>
        <sz val="11"/>
        <color theme="1"/>
        <rFont val="Calibri"/>
        <family val="2"/>
        <charset val="204"/>
        <scheme val="minor"/>
      </rPr>
      <t xml:space="preserve">. Вопрос: </t>
    </r>
    <r>
      <rPr>
        <sz val="11"/>
        <color theme="1"/>
        <rFont val="Calibri"/>
        <family val="2"/>
        <charset val="204"/>
        <scheme val="minor"/>
      </rPr>
      <t>Сколько надо заплатить налога 13% ?</t>
    </r>
  </si>
  <si>
    <r>
      <t xml:space="preserve">После уплаты НДФЛ 13% вы хотите за сдачу квартиры получить 87тыс.руб. </t>
    </r>
    <r>
      <rPr>
        <b/>
        <sz val="11"/>
        <color theme="1"/>
        <rFont val="Calibri"/>
        <family val="2"/>
        <charset val="204"/>
        <scheme val="minor"/>
      </rPr>
      <t xml:space="preserve">Вопрос: </t>
    </r>
    <r>
      <rPr>
        <sz val="11"/>
        <color theme="1"/>
        <rFont val="Calibri"/>
        <family val="2"/>
        <charset val="204"/>
        <scheme val="minor"/>
      </rPr>
      <t>Сколько надо денег запросить со съемщика квартиры?</t>
    </r>
  </si>
  <si>
    <t>Значение, руб</t>
  </si>
  <si>
    <t>Ответ, руб</t>
  </si>
  <si>
    <t>Товар, руб</t>
  </si>
  <si>
    <t>Найти сам НДС</t>
  </si>
  <si>
    <t>Привезли огурцы, кг</t>
  </si>
  <si>
    <t>Сухая масса в огурцах (без воды), в %</t>
  </si>
  <si>
    <t>Вся масса огурцов в %</t>
  </si>
  <si>
    <t>Вода в огурцах, месяц назад составляла, в %</t>
  </si>
  <si>
    <t>Сухая масса в огурцах (без воды) через месяц, в %</t>
  </si>
  <si>
    <t>Через месяц вода в огурцах стала составлять, в %</t>
  </si>
  <si>
    <t>Вода в огурцах, месяц назад составляла, в кг</t>
  </si>
  <si>
    <t>990кг</t>
  </si>
  <si>
    <t>10кг</t>
  </si>
  <si>
    <t>Сухая масса в огурцах (без воды) через месяц, в кг</t>
  </si>
  <si>
    <t>Через месяц вода в огурцах стала составлять, в кг</t>
  </si>
  <si>
    <t>490кг</t>
  </si>
  <si>
    <t>500 кг</t>
  </si>
  <si>
    <t>Ответ.                  Масса огурцов через месяц стала, в кг</t>
  </si>
  <si>
    <t>Чистый доход, руб</t>
  </si>
  <si>
    <t>Чистый доход,  в %</t>
  </si>
  <si>
    <t>Общая выручка,       в %</t>
  </si>
  <si>
    <t>Ответ:  Сумма, которую надо запросить, руб</t>
  </si>
  <si>
    <t>НДС -20%</t>
  </si>
  <si>
    <t>Получить за товар, руб</t>
  </si>
  <si>
    <t>Прибавить, НДС сверху к цене</t>
  </si>
  <si>
    <t>Ваш оклад до уменьшения, руб</t>
  </si>
  <si>
    <t>Эквивалентный множитель, X</t>
  </si>
  <si>
    <t>Эквивалентный множитель, Y</t>
  </si>
  <si>
    <t>Ваш оклад стал меньше на 40%, руб</t>
  </si>
  <si>
    <t xml:space="preserve">Неверное решение </t>
  </si>
  <si>
    <t>100000руб-40%+40%</t>
  </si>
  <si>
    <t>100000руб</t>
  </si>
  <si>
    <t xml:space="preserve">Правильное решение </t>
  </si>
  <si>
    <t>Ответ: Товара с НДС будет стоить, руб</t>
  </si>
  <si>
    <t>10000руб * 1,2 = 12000 руб</t>
  </si>
  <si>
    <t xml:space="preserve">Правильное Решение </t>
  </si>
  <si>
    <t>Оклад вернулся</t>
  </si>
  <si>
    <t>Уменьшение оклада на -40%</t>
  </si>
  <si>
    <t>Ваш оклад подняли на +40% после уменьшения</t>
  </si>
  <si>
    <t>Ваш оклад подняли на +66 2/3% после уменьшения</t>
  </si>
  <si>
    <t xml:space="preserve">Неверный ответ </t>
  </si>
  <si>
    <t>Y=1/X</t>
  </si>
  <si>
    <r>
      <t xml:space="preserve">Ваш оклад 100тыс рублей уменьшили на 40%. </t>
    </r>
    <r>
      <rPr>
        <b/>
        <sz val="11"/>
        <color theme="1"/>
        <rFont val="Calibri"/>
        <family val="2"/>
        <charset val="204"/>
        <scheme val="minor"/>
      </rPr>
      <t>Вопрос:</t>
    </r>
    <r>
      <rPr>
        <sz val="11"/>
        <color theme="1"/>
        <rFont val="Calibri"/>
        <family val="2"/>
        <charset val="204"/>
        <scheme val="minor"/>
      </rPr>
      <t xml:space="preserve"> На сколько % надо поднять ваш оклад, чтобы он восстановился в первоначальном размере?</t>
    </r>
  </si>
  <si>
    <t>Эквивалентныймножитель, Х</t>
  </si>
  <si>
    <t>Эквивалентный процент, %</t>
  </si>
  <si>
    <t>Обратный множитель, Y</t>
  </si>
  <si>
    <t>Эквивалентный процент к обратному множителю, %</t>
  </si>
  <si>
    <t>Эту же задачу №7 можно записать по другому.         Условие задачи</t>
  </si>
  <si>
    <t>Эту же задачу №7 можно записать по другому:</t>
  </si>
  <si>
    <t>дробная запись</t>
  </si>
  <si>
    <r>
      <t>Ваш оклад 100тыс рублей уменьшили на 40%. Потом ваш оклад увеличили на 40%.</t>
    </r>
    <r>
      <rPr>
        <b/>
        <sz val="11"/>
        <color theme="1"/>
        <rFont val="Calibri"/>
        <family val="2"/>
        <charset val="204"/>
        <scheme val="minor"/>
      </rPr>
      <t xml:space="preserve">                  Вопрос: </t>
    </r>
    <r>
      <rPr>
        <sz val="11"/>
        <color theme="1"/>
        <rFont val="Calibri"/>
        <family val="2"/>
        <charset val="204"/>
        <scheme val="minor"/>
      </rPr>
      <t>Какой ваш оклад стал сейчас?</t>
    </r>
  </si>
  <si>
    <t>Оклад усох</t>
  </si>
  <si>
    <t>Правильный ответ: Ваш оклад стал сейчас, руб</t>
  </si>
  <si>
    <t>Правильный ответ: Ваш оклад надо поднять на +66,6666667%</t>
  </si>
  <si>
    <t>Оклад надо поднять на +66,6666667%</t>
  </si>
  <si>
    <t>Ответ:  Ваш уменьшенный оклад надо   поднять на %</t>
  </si>
  <si>
    <r>
      <t xml:space="preserve">Дан эквивалентный множитель N.  </t>
    </r>
    <r>
      <rPr>
        <b/>
        <sz val="11"/>
        <color theme="1"/>
        <rFont val="Calibri"/>
        <family val="2"/>
        <charset val="204"/>
        <scheme val="minor"/>
      </rPr>
      <t>Вопрос:</t>
    </r>
    <r>
      <rPr>
        <sz val="11"/>
        <color theme="1"/>
        <rFont val="Calibri"/>
        <family val="2"/>
        <charset val="204"/>
        <scheme val="minor"/>
      </rPr>
      <t xml:space="preserve"> Как найти формулу эквивалентного процента и эквивалентного процента к обратному множителю?</t>
    </r>
  </si>
  <si>
    <t>Эквивалентный множитель N</t>
  </si>
  <si>
    <t>Эквивалентный процент, % (всегда положительное значение)</t>
  </si>
  <si>
    <t>=(N-1)*100%</t>
  </si>
  <si>
    <t>=1/N</t>
  </si>
  <si>
    <t>Формула обратного множителя</t>
  </si>
  <si>
    <t>Формула эквивалентного процента, %</t>
  </si>
  <si>
    <t>=(1/N-1)*100%</t>
  </si>
  <si>
    <t>Обратный множитель</t>
  </si>
  <si>
    <t>Формула экивалентного процента к обратному множителю, %</t>
  </si>
  <si>
    <t>Формула эквивалентного процента к обратному множителю, %</t>
  </si>
  <si>
    <t>Правильный ответ</t>
  </si>
  <si>
    <t>= 100000руб -40%  +66,666667%</t>
  </si>
  <si>
    <t>Как пример эквивалентного множителя N, взято число 5, вы можете в этой ячейке поставить любое число. Оно будет пересчитано</t>
  </si>
  <si>
    <t>Оклад после первого увеличения, руб</t>
  </si>
  <si>
    <t>Оклад после второго увеличения, руб</t>
  </si>
  <si>
    <t>Итоговое увеличение оклада должно быть</t>
  </si>
  <si>
    <t>Кол-во раз (кол-во шагов по увеличению оклада)</t>
  </si>
  <si>
    <t>Формула расчёта для первого увеличения оклада</t>
  </si>
  <si>
    <t>Проверка (Итоговое увеличение оклада), %</t>
  </si>
  <si>
    <t>Первое увеличение оклада, %</t>
  </si>
  <si>
    <t>Второе увеличение оклада, %</t>
  </si>
  <si>
    <t>=3,24^(1/2)-1</t>
  </si>
  <si>
    <t>Эквивалентный множитель для +224%</t>
  </si>
  <si>
    <t>Формула расчёта для второго увеличения оклада (такая же как и во время первого увеличения)</t>
  </si>
  <si>
    <t>Проверка    (Итоговое увеличение оклада), %</t>
  </si>
  <si>
    <t>Первое увеличение оклада, % (первый приказ)</t>
  </si>
  <si>
    <t>Второе увеличение оклада, % (второй приказ)</t>
  </si>
  <si>
    <t>Проверка (Итоговый оклад после увеличения двумя шагами), руб</t>
  </si>
  <si>
    <t>Оклад подчиненного, руб</t>
  </si>
  <si>
    <t>Первые полгода. Капитализация проценов, %</t>
  </si>
  <si>
    <t>Вклад вместе с первой капитализацией, руб</t>
  </si>
  <si>
    <t>Вторые полгода. Капитализация проценов, %</t>
  </si>
  <si>
    <t>Вклад вместе со второй капитализацией, руб</t>
  </si>
  <si>
    <t>Проверка (Итоговое увеличение за год), %</t>
  </si>
  <si>
    <t>Сумма взноса на вклад в "БуржуйБанк", руб</t>
  </si>
  <si>
    <t>Итоговое увеличение вклада через год должно быть</t>
  </si>
  <si>
    <t>Кол-во раз (кол-во шагов по увеличению вклада за год). Через каждые полгода</t>
  </si>
  <si>
    <t>Правильная формула расчёта для первого увеличения вклада, через первые полгода</t>
  </si>
  <si>
    <t>Формула расчёта для второго увеличения вклада (такая же как и во время первого увеличения)</t>
  </si>
  <si>
    <t>Проверка    (Итоговое увеличение вклада через год), %</t>
  </si>
  <si>
    <t>Задача №12</t>
  </si>
  <si>
    <t>Сумма вклада через полгода, после первой капитализации, руб</t>
  </si>
  <si>
    <t>Сумма вклада через полгода, после второй капитализации, руб</t>
  </si>
  <si>
    <t>Первая капитализация процентов. Увеличение вклада, %</t>
  </si>
  <si>
    <t>Надежды вкладчика, не знающего математики (Неправильное решение)</t>
  </si>
  <si>
    <t>Как анонсировал сделать "БуржуйБанк" в своей рекламе (Правильное решение)</t>
  </si>
  <si>
    <t>Проверка (Вклад вырос за год, двумя шагами по полгода), руб</t>
  </si>
  <si>
    <t>Вторая капитализация процентов. Увеличение вклада, %</t>
  </si>
  <si>
    <r>
      <t>В 1995 году в России "БуржуйБанк" дал рекламу:</t>
    </r>
    <r>
      <rPr>
        <i/>
        <sz val="11"/>
        <color theme="1"/>
        <rFont val="Calibri"/>
        <family val="2"/>
        <charset val="204"/>
        <scheme val="minor"/>
      </rPr>
      <t xml:space="preserve"> "Для новых вкладчиков, с суммой взноса не менее 100 000 рублей, "БуржуйБанк" выплачивает +224% годовых, капитализация процентов производится каждые полгода равными платежами".</t>
    </r>
    <r>
      <rPr>
        <sz val="11"/>
        <color theme="1"/>
        <rFont val="Calibri"/>
        <family val="2"/>
        <charset val="204"/>
        <scheme val="minor"/>
      </rPr>
      <t xml:space="preserve"> Однако, когда кладчик взглянул на сумму своего вклада ровно через полгода, то он удивился и стал возмущаться, что "БуржуйБанк" не выплатил ему +112% дохода как "обещал". </t>
    </r>
    <r>
      <rPr>
        <b/>
        <sz val="11"/>
        <color theme="1"/>
        <rFont val="Calibri"/>
        <family val="2"/>
        <charset val="204"/>
        <scheme val="minor"/>
      </rPr>
      <t xml:space="preserve">Вопрос: </t>
    </r>
    <r>
      <rPr>
        <sz val="11"/>
        <color theme="1"/>
        <rFont val="Calibri"/>
        <family val="2"/>
        <charset val="204"/>
        <scheme val="minor"/>
      </rPr>
      <t xml:space="preserve">Почему "БуржуйБанк" отказался выплатить +112% за первые полгода, а выплатил гораздо меньше, чем ожидал вкладчик?  </t>
    </r>
  </si>
  <si>
    <r>
      <t xml:space="preserve">На склад привезли 1000 килограммов огурцов. Там было 99% воды. Про огурцы забыли. Прошёл месяц. Про огурцы вспомнили и замерили процентное содержание воды в них.  Воды оказалось - 98%. </t>
    </r>
    <r>
      <rPr>
        <b/>
        <sz val="11"/>
        <color theme="1"/>
        <rFont val="Calibri"/>
        <family val="2"/>
        <charset val="204"/>
        <scheme val="minor"/>
      </rPr>
      <t>Вопрос:</t>
    </r>
    <r>
      <rPr>
        <sz val="11"/>
        <color theme="1"/>
        <rFont val="Calibri"/>
        <family val="2"/>
        <charset val="204"/>
        <scheme val="minor"/>
      </rPr>
      <t xml:space="preserve"> Какая масса (в кг) огурцов теперь?</t>
    </r>
  </si>
  <si>
    <r>
      <rPr>
        <b/>
        <i/>
        <sz val="11"/>
        <color theme="1"/>
        <rFont val="Calibri"/>
        <family val="2"/>
        <charset val="204"/>
        <scheme val="minor"/>
      </rPr>
      <t>Решение:</t>
    </r>
    <r>
      <rPr>
        <i/>
        <sz val="11"/>
        <color theme="1"/>
        <rFont val="Calibri"/>
        <family val="2"/>
        <charset val="204"/>
        <scheme val="minor"/>
      </rPr>
      <t xml:space="preserve"> 100000руб=100000руб*X*Y;  В итоге Y=100000руб/(100000руб*X)=1/X; То есть Y=1/X;           Х нам известно. Подставляем X=0,6=3/5;  В итоге Y=1/X=1/0.6=1/(3/5)=5/3=1 2/3=1,666667.             </t>
    </r>
    <r>
      <rPr>
        <b/>
        <i/>
        <sz val="11"/>
        <color theme="1"/>
        <rFont val="Calibri"/>
        <family val="2"/>
        <charset val="204"/>
        <scheme val="minor"/>
      </rPr>
      <t>Ответ:</t>
    </r>
    <r>
      <rPr>
        <i/>
        <sz val="11"/>
        <color theme="1"/>
        <rFont val="Calibri"/>
        <family val="2"/>
        <charset val="204"/>
        <scheme val="minor"/>
      </rPr>
      <t xml:space="preserve"> Оклад надо поднять на 66,666667%=(1,6666667-1)*100%</t>
    </r>
  </si>
  <si>
    <r>
      <rPr>
        <b/>
        <i/>
        <sz val="11"/>
        <color theme="1"/>
        <rFont val="Calibri"/>
        <family val="2"/>
        <charset val="204"/>
        <scheme val="minor"/>
      </rPr>
      <t xml:space="preserve">Вывод: </t>
    </r>
    <r>
      <rPr>
        <i/>
        <sz val="11"/>
        <color theme="1"/>
        <rFont val="Calibri"/>
        <family val="2"/>
        <charset val="204"/>
        <scheme val="minor"/>
      </rPr>
      <t>Начальник пожелал поднять оклад своему подчиненному со 100тыс рублей до 324тыс рублей. Однако, подчиненый по собственной глупости, неправильно рассчитал себе оклад и в итоге поднял его до 449440 рублей, подсунув начальнику документы на подпись. Подичненный должен был принести два одинаковых приказа с +80%, а не с  +112% как сделал подчиненный. За что и был уволен с работы из-за незнания математики.</t>
    </r>
  </si>
  <si>
    <r>
      <rPr>
        <b/>
        <i/>
        <sz val="11"/>
        <color theme="1"/>
        <rFont val="Calibri"/>
        <family val="2"/>
        <charset val="204"/>
        <scheme val="minor"/>
      </rPr>
      <t xml:space="preserve">Ответ: </t>
    </r>
    <r>
      <rPr>
        <i/>
        <sz val="11"/>
        <color theme="1"/>
        <rFont val="Calibri"/>
        <family val="2"/>
        <charset val="204"/>
        <scheme val="minor"/>
      </rPr>
      <t xml:space="preserve">Вкладчик не знал математику и не смог понять, что +224% процента годовых, по законам математики, не делится ровно пополам за каждые полгода. Поэтому ожидания вкладчика, что он положит в БуржуйБанк 100тыс рублей и снимет ровно через полгода 212тыс рублей оказались ложными. </t>
    </r>
  </si>
  <si>
    <t>=100000руб*X*Y</t>
  </si>
  <si>
    <t>Банк предоставил условие досрочного погашения и заёмщик проверил Банк</t>
  </si>
  <si>
    <t>Денежный поток, руб</t>
  </si>
  <si>
    <t>Процент за полгода (досрочно), %</t>
  </si>
  <si>
    <t>Погашение процентов, руб</t>
  </si>
  <si>
    <t>Погашение основного долга, руб</t>
  </si>
  <si>
    <t>Остаток основного долга, руб</t>
  </si>
  <si>
    <t>Денежный поток (ДП), руб</t>
  </si>
  <si>
    <t>Процент, %</t>
  </si>
  <si>
    <r>
      <rPr>
        <b/>
        <i/>
        <sz val="11"/>
        <color theme="1"/>
        <rFont val="Calibri"/>
        <family val="2"/>
        <charset val="204"/>
        <scheme val="minor"/>
      </rPr>
      <t>Ответ:</t>
    </r>
    <r>
      <rPr>
        <i/>
        <sz val="11"/>
        <color theme="1"/>
        <rFont val="Calibri"/>
        <family val="2"/>
        <charset val="204"/>
        <scheme val="minor"/>
      </rPr>
      <t xml:space="preserve"> В итоге заёмщик взял 10млн рублей и досрочно выплатил через полгода 21,2млн рублей, полностью погасив кредит.                     На самом деле заёмщик должен был выплатить за полгода всего лишь 18млн рублей, из которых 8млн. рублей - это процент за пользование кредитом за полгода. В итоге Банк, из-за невежества клиента, заработал на заёмщике лишние миллионы.</t>
    </r>
  </si>
  <si>
    <r>
      <t xml:space="preserve">Обратите внимание, что "Денежный поток" по закону 353 ФЗ обозначается занком "-" и знаком "+", то есть первый "Денежный поток" в кредитном Договоре с Банком, сам Банк </t>
    </r>
    <r>
      <rPr>
        <b/>
        <i/>
        <sz val="9"/>
        <color theme="1"/>
        <rFont val="Calibri"/>
        <family val="2"/>
        <charset val="204"/>
        <scheme val="minor"/>
      </rPr>
      <t>обязан обозначать</t>
    </r>
    <r>
      <rPr>
        <i/>
        <sz val="9"/>
        <color theme="1"/>
        <rFont val="Calibri"/>
        <family val="2"/>
        <charset val="204"/>
        <scheme val="minor"/>
      </rPr>
      <t xml:space="preserve"> со знаком "-", так как он направлен от Банка к заёмщику. </t>
    </r>
  </si>
  <si>
    <t>Федеральный закон от 21 декабря 2013 г. N 353-ФЗ "О потребительском кредите (займе)" Статья 6: "Разнонаправленные Денежные Потоки (ДП) (платежи) (приток и отток денежных средств) включаются в расчет с противоположными математическими знаками - предоставление заемщику кредита на дату его выдачи включается в расчет со знаком "минус", возврат заемщиком кредита, уплата процентов по кредиту включаются в расчет со знаком "плюс"".</t>
  </si>
  <si>
    <t>Правильный расчёт, в случае досрочного погашения кредита досрочно через полгода (правильно)</t>
  </si>
  <si>
    <t>Правильный график расчёта выплат двумя Денеными Потоками (ДП)</t>
  </si>
  <si>
    <r>
      <rPr>
        <b/>
        <i/>
        <sz val="11"/>
        <color theme="1"/>
        <rFont val="Calibri"/>
        <family val="2"/>
        <charset val="204"/>
        <scheme val="minor"/>
      </rPr>
      <t>Ответ:</t>
    </r>
    <r>
      <rPr>
        <i/>
        <sz val="11"/>
        <color theme="1"/>
        <rFont val="Calibri"/>
        <family val="2"/>
        <charset val="204"/>
        <scheme val="minor"/>
      </rPr>
      <t xml:space="preserve"> При досрочном погашении через полгода, заемщик переплатил Банку 3,2млн рублей.</t>
    </r>
  </si>
  <si>
    <r>
      <rPr>
        <b/>
        <i/>
        <sz val="10"/>
        <color theme="1"/>
        <rFont val="Calibri"/>
        <family val="2"/>
        <charset val="204"/>
        <scheme val="minor"/>
      </rPr>
      <t xml:space="preserve">РЕШЕНИЕ: </t>
    </r>
    <r>
      <rPr>
        <i/>
        <sz val="10"/>
        <color theme="1"/>
        <rFont val="Calibri"/>
        <family val="2"/>
        <charset val="204"/>
        <scheme val="minor"/>
      </rPr>
      <t xml:space="preserve">Заёмщик заметил, что в графике платежей Денежный Поток (ДП) равен сумме погашения процентов и основного долга. Он подумал, если я не буду платить досрочное погашение, значит Денежный Поток 01.07.1996 года будет равен нулю. Значит погашение Основного Долга будет таким же как погашение процентов, только с противоположным знаком. Но погашение Основного Долга изменяет сумму Основного Долга. А поскольку погашение суммы Основного Долга отрицательное, то Основной Долг - увеличивается. Таким образом вторые 112% будут расчитаны от бОльшей суммы, что естественно увеличит общую сумму выплаты в адрес Банка, через год после начала выдачи кредита. И действительно, заёмщик рассчитал и получилось на 12млн бОльше, чем в графике платежей. Заёмщик сделал вывод, что его обманули. Увеличение суммы долга на 112% равносильно умножению на коэфициент 2,12. Действительно, если (2,12*2,12-1)*100%=349,44%. Что точно соответствует сумме 44944000 рублей. Значит, надо найти такой коэффициент, который при умножении на себя самого, даст число 3,24 (Что соответвует 100%+224%=324%). Такое число нам даёт квадратный корень. 3,24^(1/2)=1,8. Значит, увеличение должно быть                         на (1,8-1)*100%=80%. Заемщик проверил в таблице "Правильный расчет графика каждые полгода и получил суммарные значения абсолютно соответствующие графику из Договора. Значит, при досрочном погашении должно быть 18 млн, а не 21,2 млн. </t>
    </r>
    <r>
      <rPr>
        <b/>
        <i/>
        <sz val="10"/>
        <color theme="1"/>
        <rFont val="Calibri"/>
        <family val="2"/>
        <charset val="204"/>
        <scheme val="minor"/>
      </rPr>
      <t xml:space="preserve">Ответ: </t>
    </r>
    <r>
      <rPr>
        <i/>
        <sz val="10"/>
        <color theme="1"/>
        <rFont val="Calibri"/>
        <family val="2"/>
        <charset val="204"/>
        <scheme val="minor"/>
      </rPr>
      <t>Банк обманул заемщика на 3,2 млн</t>
    </r>
  </si>
  <si>
    <r>
      <t xml:space="preserve">В задаче №11 заёмщик решил проверить расчёт Банка и прикинул, что если он не станет выплачивать досрочно за первые полгода, то за вторые полгода ему надо будет выплатить ещё 112%. Заемщик продолжил расчет банка, и понял, что Банк его обманул.   </t>
    </r>
    <r>
      <rPr>
        <b/>
        <sz val="11"/>
        <color theme="1"/>
        <rFont val="Calibri"/>
        <family val="2"/>
        <charset val="204"/>
        <scheme val="minor"/>
      </rPr>
      <t>Вопрос:</t>
    </r>
    <r>
      <rPr>
        <sz val="11"/>
        <color theme="1"/>
        <rFont val="Calibri"/>
        <family val="2"/>
        <charset val="204"/>
        <scheme val="minor"/>
      </rPr>
      <t xml:space="preserve"> Насколько банк обманул заемщика в Задаче №11?</t>
    </r>
  </si>
  <si>
    <r>
      <t xml:space="preserve">Начальник сказал подчиненному: "Твой оклад сейчас 100тыс рублей. Я хочу поднять тебе оклад на 224%, но не сразу, а за два раза с одинаковым количеством процентов. Подготовь мне, пожалуйста, два приказа." Подчиненный быстренько принёс два приказа по 112%.  </t>
    </r>
    <r>
      <rPr>
        <b/>
        <sz val="11"/>
        <color theme="1"/>
        <rFont val="Calibri"/>
        <family val="2"/>
        <charset val="204"/>
        <scheme val="minor"/>
      </rPr>
      <t xml:space="preserve">Вопрос: </t>
    </r>
    <r>
      <rPr>
        <sz val="11"/>
        <color theme="1"/>
        <rFont val="Calibri"/>
        <family val="2"/>
        <charset val="204"/>
        <scheme val="minor"/>
      </rPr>
      <t xml:space="preserve">Почему начальник их не подписал, а </t>
    </r>
    <r>
      <rPr>
        <b/>
        <sz val="11"/>
        <color theme="1"/>
        <rFont val="Calibri"/>
        <family val="2"/>
        <charset val="204"/>
        <scheme val="minor"/>
      </rPr>
      <t xml:space="preserve">подчиненный остался без повышения оклада и был уволен?  </t>
    </r>
  </si>
  <si>
    <r>
      <t xml:space="preserve">Ваш оклад 100тыс рублей уменьшили на 40%.  </t>
    </r>
    <r>
      <rPr>
        <b/>
        <sz val="11"/>
        <color theme="1"/>
        <rFont val="Calibri"/>
        <family val="2"/>
        <charset val="204"/>
        <scheme val="minor"/>
      </rPr>
      <t xml:space="preserve">Вопрос: </t>
    </r>
    <r>
      <rPr>
        <sz val="11"/>
        <color theme="1"/>
        <rFont val="Calibri"/>
        <family val="2"/>
        <charset val="204"/>
        <scheme val="minor"/>
      </rPr>
      <t>На сколько % надо поднять ваш оклад, чтобы он восстановился в первоначальном размере?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</si>
</sst>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₽&quot;;\-#,##0.00\ &quot;₽&quot;"/>
    <numFmt numFmtId="44" formatCode="_-* #,##0.00\ &quot;₽&quot;_-;\-* #,##0.00\ &quot;₽&quot;_-;_-* &quot;-&quot;??\ &quot;₽&quot;_-;_-@_-"/>
    <numFmt numFmtId="164" formatCode="0.000%"/>
    <numFmt numFmtId="165" formatCode="0.0%"/>
    <numFmt numFmtId="166" formatCode="\+#,##0.00%;\-#,##0.00%"/>
    <numFmt numFmtId="167" formatCode="#,##0.00\ &quot;₽&quot;"/>
    <numFmt numFmtId="168" formatCode="\+#,##0.000000%;\-#,##0.000000%"/>
    <numFmt numFmtId="169" formatCode="0.000000%"/>
    <numFmt numFmtId="170" formatCode="#,##0.00\ &quot;₽&quot;;[Red]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/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hair">
        <color auto="1"/>
      </left>
      <right/>
      <top style="thick">
        <color auto="1"/>
      </top>
      <bottom/>
      <diagonal/>
    </border>
    <border>
      <left style="thick">
        <color auto="1"/>
      </left>
      <right style="hair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/>
      <right style="hair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/>
      <bottom style="thick">
        <color auto="1"/>
      </bottom>
      <diagonal/>
    </border>
    <border>
      <left style="hair">
        <color auto="1"/>
      </left>
      <right/>
      <top/>
      <bottom style="thick">
        <color auto="1"/>
      </bottom>
      <diagonal/>
    </border>
    <border>
      <left style="thick">
        <color auto="1"/>
      </left>
      <right style="hair">
        <color auto="1"/>
      </right>
      <top style="medium">
        <color auto="1"/>
      </top>
      <bottom/>
      <diagonal/>
    </border>
    <border>
      <left style="thick">
        <color auto="1"/>
      </left>
      <right style="hair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7">
    <xf numFmtId="0" fontId="0" fillId="0" borderId="0" xfId="0"/>
    <xf numFmtId="164" fontId="0" fillId="0" borderId="0" xfId="2" applyNumberFormat="1" applyFont="1"/>
    <xf numFmtId="9" fontId="0" fillId="3" borderId="5" xfId="0" applyNumberFormat="1" applyFill="1" applyBorder="1" applyAlignment="1">
      <alignment vertical="center"/>
    </xf>
    <xf numFmtId="9" fontId="0" fillId="3" borderId="1" xfId="0" applyNumberFormat="1" applyFill="1" applyBorder="1" applyAlignment="1">
      <alignment vertical="center"/>
    </xf>
    <xf numFmtId="44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9" fontId="0" fillId="3" borderId="5" xfId="0" applyNumberForma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9" fontId="0" fillId="2" borderId="5" xfId="0" applyNumberFormat="1" applyFill="1" applyBorder="1" applyAlignment="1">
      <alignment horizontal="right" vertical="center"/>
    </xf>
    <xf numFmtId="0" fontId="2" fillId="0" borderId="42" xfId="0" applyFont="1" applyBorder="1" applyAlignment="1">
      <alignment horizontal="right" wrapText="1"/>
    </xf>
    <xf numFmtId="0" fontId="0" fillId="3" borderId="45" xfId="0" applyFill="1" applyBorder="1" applyAlignment="1">
      <alignment vertical="center"/>
    </xf>
    <xf numFmtId="0" fontId="2" fillId="0" borderId="4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9" fontId="0" fillId="3" borderId="1" xfId="0" applyNumberFormat="1" applyFill="1" applyBorder="1" applyAlignment="1">
      <alignment horizontal="right" vertical="center"/>
    </xf>
    <xf numFmtId="9" fontId="0" fillId="3" borderId="3" xfId="0" applyNumberForma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 wrapText="1"/>
    </xf>
    <xf numFmtId="9" fontId="0" fillId="3" borderId="8" xfId="0" applyNumberFormat="1" applyFill="1" applyBorder="1" applyAlignment="1">
      <alignment vertical="center"/>
    </xf>
    <xf numFmtId="9" fontId="0" fillId="3" borderId="41" xfId="0" applyNumberFormat="1" applyFill="1" applyBorder="1" applyAlignment="1">
      <alignment horizontal="right" vertical="center"/>
    </xf>
    <xf numFmtId="0" fontId="2" fillId="0" borderId="6" xfId="0" applyFont="1" applyBorder="1" applyAlignment="1">
      <alignment horizontal="right" wrapText="1"/>
    </xf>
    <xf numFmtId="0" fontId="2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7" fontId="0" fillId="3" borderId="32" xfId="0" applyNumberFormat="1" applyFill="1" applyBorder="1"/>
    <xf numFmtId="166" fontId="0" fillId="3" borderId="19" xfId="0" applyNumberFormat="1" applyFill="1" applyBorder="1"/>
    <xf numFmtId="167" fontId="0" fillId="3" borderId="12" xfId="0" applyNumberFormat="1" applyFill="1" applyBorder="1"/>
    <xf numFmtId="12" fontId="0" fillId="0" borderId="0" xfId="0" applyNumberFormat="1"/>
    <xf numFmtId="0" fontId="0" fillId="8" borderId="40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2" borderId="42" xfId="0" applyFill="1" applyBorder="1" applyAlignment="1">
      <alignment horizontal="right" vertical="center"/>
    </xf>
    <xf numFmtId="0" fontId="0" fillId="2" borderId="40" xfId="0" applyFill="1" applyBorder="1" applyAlignment="1">
      <alignment horizontal="center" vertical="center"/>
    </xf>
    <xf numFmtId="0" fontId="0" fillId="3" borderId="42" xfId="0" applyFill="1" applyBorder="1" applyAlignment="1">
      <alignment horizontal="right" vertical="center"/>
    </xf>
    <xf numFmtId="0" fontId="0" fillId="3" borderId="50" xfId="0" applyFill="1" applyBorder="1" applyAlignment="1">
      <alignment horizontal="center" vertical="center"/>
    </xf>
    <xf numFmtId="166" fontId="0" fillId="3" borderId="21" xfId="0" applyNumberForma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54" xfId="0" applyFill="1" applyBorder="1"/>
    <xf numFmtId="0" fontId="0" fillId="3" borderId="57" xfId="0" applyFill="1" applyBorder="1"/>
    <xf numFmtId="0" fontId="4" fillId="3" borderId="47" xfId="0" applyFont="1" applyFill="1" applyBorder="1" applyAlignment="1">
      <alignment horizontal="center"/>
    </xf>
    <xf numFmtId="12" fontId="0" fillId="3" borderId="55" xfId="0" applyNumberFormat="1" applyFill="1" applyBorder="1" applyAlignment="1">
      <alignment horizontal="center"/>
    </xf>
    <xf numFmtId="12" fontId="0" fillId="3" borderId="59" xfId="0" applyNumberFormat="1" applyFill="1" applyBorder="1" applyAlignment="1">
      <alignment horizontal="center"/>
    </xf>
    <xf numFmtId="0" fontId="4" fillId="3" borderId="60" xfId="0" applyFont="1" applyFill="1" applyBorder="1" applyAlignment="1">
      <alignment horizontal="right"/>
    </xf>
    <xf numFmtId="0" fontId="4" fillId="0" borderId="0" xfId="0" applyFont="1"/>
    <xf numFmtId="0" fontId="2" fillId="11" borderId="40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right" vertical="center" wrapText="1"/>
    </xf>
    <xf numFmtId="0" fontId="2" fillId="11" borderId="16" xfId="0" applyFont="1" applyFill="1" applyBorder="1" applyAlignment="1">
      <alignment horizontal="right" vertical="center" wrapText="1"/>
    </xf>
    <xf numFmtId="0" fontId="2" fillId="11" borderId="8" xfId="0" applyFont="1" applyFill="1" applyBorder="1" applyAlignment="1">
      <alignment horizontal="right" vertical="center" wrapText="1"/>
    </xf>
    <xf numFmtId="167" fontId="0" fillId="8" borderId="42" xfId="0" applyNumberFormat="1" applyFill="1" applyBorder="1" applyAlignment="1">
      <alignment vertical="center"/>
    </xf>
    <xf numFmtId="9" fontId="0" fillId="8" borderId="5" xfId="0" applyNumberFormat="1" applyFill="1" applyBorder="1" applyAlignment="1">
      <alignment vertical="center"/>
    </xf>
    <xf numFmtId="167" fontId="0" fillId="3" borderId="48" xfId="0" applyNumberFormat="1" applyFill="1" applyBorder="1" applyAlignment="1">
      <alignment horizontal="right" vertical="center"/>
    </xf>
    <xf numFmtId="166" fontId="0" fillId="3" borderId="16" xfId="0" applyNumberFormat="1" applyFill="1" applyBorder="1" applyAlignment="1">
      <alignment horizontal="right" vertical="center"/>
    </xf>
    <xf numFmtId="167" fontId="0" fillId="8" borderId="32" xfId="0" applyNumberFormat="1" applyFill="1" applyBorder="1"/>
    <xf numFmtId="166" fontId="0" fillId="8" borderId="19" xfId="0" applyNumberFormat="1" applyFill="1" applyBorder="1"/>
    <xf numFmtId="167" fontId="0" fillId="8" borderId="12" xfId="0" applyNumberFormat="1" applyFill="1" applyBorder="1"/>
    <xf numFmtId="0" fontId="0" fillId="8" borderId="16" xfId="0" applyNumberFormat="1" applyFill="1" applyBorder="1"/>
    <xf numFmtId="0" fontId="2" fillId="11" borderId="7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/>
    </xf>
    <xf numFmtId="166" fontId="0" fillId="5" borderId="21" xfId="0" applyNumberFormat="1" applyFill="1" applyBorder="1" applyAlignment="1">
      <alignment horizontal="center" vertical="center"/>
    </xf>
    <xf numFmtId="0" fontId="2" fillId="0" borderId="41" xfId="0" applyFont="1" applyBorder="1" applyAlignment="1">
      <alignment horizontal="right" vertical="center"/>
    </xf>
    <xf numFmtId="0" fontId="2" fillId="6" borderId="40" xfId="0" applyFont="1" applyFill="1" applyBorder="1" applyAlignment="1">
      <alignment horizontal="right" vertical="center"/>
    </xf>
    <xf numFmtId="0" fontId="0" fillId="7" borderId="40" xfId="0" applyFill="1" applyBorder="1" applyAlignment="1">
      <alignment horizontal="right" vertical="center"/>
    </xf>
    <xf numFmtId="9" fontId="0" fillId="2" borderId="41" xfId="0" applyNumberFormat="1" applyFill="1" applyBorder="1" applyAlignment="1">
      <alignment horizontal="right" vertical="center"/>
    </xf>
    <xf numFmtId="9" fontId="0" fillId="8" borderId="41" xfId="0" applyNumberFormat="1" applyFill="1" applyBorder="1" applyAlignment="1">
      <alignment vertical="center"/>
    </xf>
    <xf numFmtId="0" fontId="2" fillId="6" borderId="40" xfId="0" applyFont="1" applyFill="1" applyBorder="1" applyAlignment="1">
      <alignment horizontal="right" vertical="center" wrapText="1"/>
    </xf>
    <xf numFmtId="167" fontId="0" fillId="7" borderId="40" xfId="0" applyNumberFormat="1" applyFill="1" applyBorder="1" applyAlignment="1">
      <alignment horizontal="right" vertical="center"/>
    </xf>
    <xf numFmtId="0" fontId="2" fillId="11" borderId="18" xfId="0" applyFont="1" applyFill="1" applyBorder="1" applyAlignment="1">
      <alignment horizontal="right" vertical="center" wrapText="1"/>
    </xf>
    <xf numFmtId="0" fontId="0" fillId="3" borderId="18" xfId="0" applyNumberFormat="1" applyFill="1" applyBorder="1" applyAlignment="1">
      <alignment horizontal="right" vertical="center"/>
    </xf>
    <xf numFmtId="167" fontId="0" fillId="7" borderId="40" xfId="0" applyNumberFormat="1" applyFill="1" applyBorder="1" applyAlignment="1">
      <alignment horizontal="right" vertical="center" wrapText="1"/>
    </xf>
    <xf numFmtId="0" fontId="2" fillId="11" borderId="6" xfId="0" applyFont="1" applyFill="1" applyBorder="1" applyAlignment="1">
      <alignment horizontal="right" vertical="center" wrapText="1"/>
    </xf>
    <xf numFmtId="166" fontId="0" fillId="8" borderId="10" xfId="0" applyNumberFormat="1" applyFill="1" applyBorder="1"/>
    <xf numFmtId="0" fontId="0" fillId="8" borderId="18" xfId="0" applyNumberFormat="1" applyFill="1" applyBorder="1"/>
    <xf numFmtId="168" fontId="0" fillId="3" borderId="10" xfId="0" applyNumberFormat="1" applyFill="1" applyBorder="1"/>
    <xf numFmtId="0" fontId="2" fillId="9" borderId="40" xfId="0" applyFont="1" applyFill="1" applyBorder="1" applyAlignment="1">
      <alignment horizontal="center" vertical="center" wrapText="1"/>
    </xf>
    <xf numFmtId="49" fontId="0" fillId="9" borderId="43" xfId="0" applyNumberFormat="1" applyFill="1" applyBorder="1" applyAlignment="1">
      <alignment horizontal="center"/>
    </xf>
    <xf numFmtId="167" fontId="0" fillId="9" borderId="43" xfId="0" applyNumberFormat="1" applyFill="1" applyBorder="1" applyAlignment="1">
      <alignment horizontal="center"/>
    </xf>
    <xf numFmtId="0" fontId="2" fillId="6" borderId="40" xfId="0" applyFont="1" applyFill="1" applyBorder="1" applyAlignment="1">
      <alignment horizontal="center" vertical="center" wrapText="1"/>
    </xf>
    <xf numFmtId="49" fontId="0" fillId="7" borderId="44" xfId="0" applyNumberFormat="1" applyFill="1" applyBorder="1" applyAlignment="1">
      <alignment horizontal="center"/>
    </xf>
    <xf numFmtId="167" fontId="0" fillId="7" borderId="44" xfId="0" applyNumberFormat="1" applyFill="1" applyBorder="1" applyAlignment="1">
      <alignment horizontal="center"/>
    </xf>
    <xf numFmtId="49" fontId="0" fillId="7" borderId="44" xfId="0" applyNumberFormat="1" applyFill="1" applyBorder="1" applyAlignment="1">
      <alignment horizontal="center" wrapText="1"/>
    </xf>
    <xf numFmtId="12" fontId="0" fillId="7" borderId="44" xfId="0" applyNumberFormat="1" applyFill="1" applyBorder="1" applyAlignment="1">
      <alignment horizontal="center"/>
    </xf>
    <xf numFmtId="0" fontId="2" fillId="11" borderId="51" xfId="0" applyFont="1" applyFill="1" applyBorder="1" applyAlignment="1">
      <alignment horizontal="center" vertical="center" wrapText="1"/>
    </xf>
    <xf numFmtId="169" fontId="0" fillId="3" borderId="51" xfId="0" applyNumberFormat="1" applyFill="1" applyBorder="1" applyAlignment="1">
      <alignment horizontal="center" vertical="center"/>
    </xf>
    <xf numFmtId="12" fontId="0" fillId="3" borderId="56" xfId="0" applyNumberFormat="1" applyFill="1" applyBorder="1"/>
    <xf numFmtId="12" fontId="0" fillId="3" borderId="58" xfId="0" applyNumberFormat="1" applyFill="1" applyBorder="1"/>
    <xf numFmtId="0" fontId="0" fillId="10" borderId="49" xfId="0" applyFill="1" applyBorder="1" applyAlignment="1">
      <alignment horizontal="center" vertical="center" wrapText="1"/>
    </xf>
    <xf numFmtId="12" fontId="0" fillId="10" borderId="46" xfId="0" applyNumberFormat="1" applyFill="1" applyBorder="1" applyAlignment="1">
      <alignment horizontal="center" wrapText="1"/>
    </xf>
    <xf numFmtId="0" fontId="4" fillId="10" borderId="44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49" fontId="0" fillId="7" borderId="40" xfId="0" applyNumberFormat="1" applyFill="1" applyBorder="1" applyAlignment="1">
      <alignment horizontal="center" vertical="center"/>
    </xf>
    <xf numFmtId="0" fontId="2" fillId="11" borderId="67" xfId="0" applyFont="1" applyFill="1" applyBorder="1" applyAlignment="1">
      <alignment horizontal="center" vertical="center" wrapText="1"/>
    </xf>
    <xf numFmtId="0" fontId="2" fillId="11" borderId="68" xfId="0" applyFont="1" applyFill="1" applyBorder="1" applyAlignment="1">
      <alignment horizontal="center" vertical="center" wrapText="1"/>
    </xf>
    <xf numFmtId="166" fontId="2" fillId="11" borderId="69" xfId="0" applyNumberFormat="1" applyFont="1" applyFill="1" applyBorder="1" applyAlignment="1">
      <alignment horizontal="center" vertical="center" wrapText="1"/>
    </xf>
    <xf numFmtId="0" fontId="0" fillId="5" borderId="70" xfId="0" applyFill="1" applyBorder="1" applyAlignment="1">
      <alignment horizontal="center" vertical="center"/>
    </xf>
    <xf numFmtId="166" fontId="0" fillId="5" borderId="71" xfId="0" applyNumberFormat="1" applyFill="1" applyBorder="1" applyAlignment="1">
      <alignment horizontal="center" vertical="center"/>
    </xf>
    <xf numFmtId="166" fontId="2" fillId="11" borderId="7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9" borderId="3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167" fontId="0" fillId="9" borderId="16" xfId="0" applyNumberFormat="1" applyFill="1" applyBorder="1" applyAlignment="1">
      <alignment horizontal="center" vertical="center"/>
    </xf>
    <xf numFmtId="166" fontId="0" fillId="9" borderId="16" xfId="0" applyNumberFormat="1" applyFill="1" applyBorder="1" applyAlignment="1">
      <alignment horizontal="center" vertical="center"/>
    </xf>
    <xf numFmtId="166" fontId="0" fillId="9" borderId="17" xfId="2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6" fontId="0" fillId="7" borderId="57" xfId="0" applyNumberFormat="1" applyFill="1" applyBorder="1" applyAlignment="1">
      <alignment horizontal="center" vertical="center"/>
    </xf>
    <xf numFmtId="2" fontId="0" fillId="7" borderId="47" xfId="0" applyNumberFormat="1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49" fontId="0" fillId="7" borderId="47" xfId="2" applyNumberFormat="1" applyFont="1" applyFill="1" applyBorder="1" applyAlignment="1">
      <alignment horizontal="center" vertical="center" wrapText="1"/>
    </xf>
    <xf numFmtId="166" fontId="0" fillId="7" borderId="74" xfId="0" applyNumberForma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167" fontId="0" fillId="7" borderId="57" xfId="0" applyNumberFormat="1" applyFill="1" applyBorder="1" applyAlignment="1">
      <alignment horizontal="center" vertical="center"/>
    </xf>
    <xf numFmtId="167" fontId="0" fillId="7" borderId="47" xfId="0" applyNumberFormat="1" applyFill="1" applyBorder="1" applyAlignment="1">
      <alignment horizontal="center" vertical="center"/>
    </xf>
    <xf numFmtId="166" fontId="0" fillId="7" borderId="47" xfId="0" applyNumberFormat="1" applyFill="1" applyBorder="1" applyAlignment="1">
      <alignment horizontal="center" vertical="center"/>
    </xf>
    <xf numFmtId="167" fontId="0" fillId="7" borderId="74" xfId="2" applyNumberFormat="1" applyFont="1" applyFill="1" applyBorder="1" applyAlignment="1">
      <alignment horizontal="center" vertical="center"/>
    </xf>
    <xf numFmtId="49" fontId="0" fillId="5" borderId="72" xfId="0" applyNumberFormat="1" applyFont="1" applyFill="1" applyBorder="1" applyAlignment="1">
      <alignment horizontal="center" vertical="center" wrapText="1"/>
    </xf>
    <xf numFmtId="49" fontId="0" fillId="5" borderId="72" xfId="0" applyNumberFormat="1" applyFont="1" applyFill="1" applyBorder="1" applyAlignment="1">
      <alignment horizontal="center" vertical="center"/>
    </xf>
    <xf numFmtId="49" fontId="0" fillId="5" borderId="73" xfId="0" applyNumberFormat="1" applyFont="1" applyFill="1" applyBorder="1" applyAlignment="1">
      <alignment horizontal="center" vertical="center"/>
    </xf>
    <xf numFmtId="14" fontId="0" fillId="9" borderId="38" xfId="0" applyNumberFormat="1" applyFill="1" applyBorder="1"/>
    <xf numFmtId="165" fontId="0" fillId="9" borderId="38" xfId="2" applyNumberFormat="1" applyFont="1" applyFill="1" applyBorder="1"/>
    <xf numFmtId="14" fontId="3" fillId="9" borderId="30" xfId="0" applyNumberFormat="1" applyFont="1" applyFill="1" applyBorder="1" applyAlignment="1">
      <alignment horizontal="center"/>
    </xf>
    <xf numFmtId="0" fontId="0" fillId="9" borderId="30" xfId="0" applyFill="1" applyBorder="1"/>
    <xf numFmtId="14" fontId="0" fillId="9" borderId="76" xfId="0" applyNumberFormat="1" applyFill="1" applyBorder="1"/>
    <xf numFmtId="44" fontId="0" fillId="9" borderId="76" xfId="0" applyNumberFormat="1" applyFill="1" applyBorder="1"/>
    <xf numFmtId="0" fontId="2" fillId="9" borderId="15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14" fontId="0" fillId="7" borderId="76" xfId="0" applyNumberFormat="1" applyFill="1" applyBorder="1"/>
    <xf numFmtId="44" fontId="0" fillId="7" borderId="76" xfId="0" applyNumberFormat="1" applyFill="1" applyBorder="1"/>
    <xf numFmtId="2" fontId="0" fillId="7" borderId="76" xfId="0" applyNumberFormat="1" applyFill="1" applyBorder="1" applyAlignment="1">
      <alignment horizontal="right"/>
    </xf>
    <xf numFmtId="44" fontId="0" fillId="7" borderId="77" xfId="1" applyFont="1" applyFill="1" applyBorder="1"/>
    <xf numFmtId="14" fontId="0" fillId="7" borderId="38" xfId="0" applyNumberFormat="1" applyFill="1" applyBorder="1"/>
    <xf numFmtId="44" fontId="0" fillId="7" borderId="38" xfId="0" applyNumberFormat="1" applyFill="1" applyBorder="1"/>
    <xf numFmtId="165" fontId="0" fillId="7" borderId="38" xfId="2" applyNumberFormat="1" applyFont="1" applyFill="1" applyBorder="1"/>
    <xf numFmtId="2" fontId="0" fillId="7" borderId="39" xfId="0" applyNumberFormat="1" applyFill="1" applyBorder="1" applyAlignment="1">
      <alignment horizontal="right"/>
    </xf>
    <xf numFmtId="14" fontId="3" fillId="7" borderId="30" xfId="0" applyNumberFormat="1" applyFont="1" applyFill="1" applyBorder="1" applyAlignment="1">
      <alignment horizontal="center"/>
    </xf>
    <xf numFmtId="44" fontId="0" fillId="7" borderId="30" xfId="0" applyNumberFormat="1" applyFill="1" applyBorder="1"/>
    <xf numFmtId="44" fontId="0" fillId="7" borderId="31" xfId="0" applyNumberFormat="1" applyFill="1" applyBorder="1"/>
    <xf numFmtId="167" fontId="0" fillId="9" borderId="38" xfId="0" applyNumberFormat="1" applyFill="1" applyBorder="1"/>
    <xf numFmtId="170" fontId="0" fillId="9" borderId="38" xfId="0" applyNumberFormat="1" applyFill="1" applyBorder="1"/>
    <xf numFmtId="170" fontId="0" fillId="9" borderId="76" xfId="0" applyNumberFormat="1" applyFill="1" applyBorder="1"/>
    <xf numFmtId="7" fontId="0" fillId="9" borderId="76" xfId="0" applyNumberFormat="1" applyFill="1" applyBorder="1"/>
    <xf numFmtId="167" fontId="0" fillId="9" borderId="76" xfId="0" applyNumberFormat="1" applyFill="1" applyBorder="1"/>
    <xf numFmtId="167" fontId="0" fillId="9" borderId="76" xfId="0" quotePrefix="1" applyNumberFormat="1" applyFill="1" applyBorder="1" applyAlignment="1">
      <alignment horizontal="right"/>
    </xf>
    <xf numFmtId="167" fontId="0" fillId="9" borderId="30" xfId="0" applyNumberFormat="1" applyFill="1" applyBorder="1"/>
    <xf numFmtId="167" fontId="0" fillId="9" borderId="77" xfId="1" applyNumberFormat="1" applyFont="1" applyFill="1" applyBorder="1"/>
    <xf numFmtId="167" fontId="0" fillId="9" borderId="39" xfId="0" applyNumberFormat="1" applyFill="1" applyBorder="1"/>
    <xf numFmtId="167" fontId="0" fillId="9" borderId="39" xfId="0" quotePrefix="1" applyNumberFormat="1" applyFill="1" applyBorder="1" applyAlignment="1">
      <alignment horizontal="right"/>
    </xf>
    <xf numFmtId="167" fontId="0" fillId="9" borderId="31" xfId="0" quotePrefix="1" applyNumberFormat="1" applyFill="1" applyBorder="1" applyAlignment="1">
      <alignment horizontal="right"/>
    </xf>
    <xf numFmtId="10" fontId="0" fillId="9" borderId="76" xfId="0" quotePrefix="1" applyNumberFormat="1" applyFill="1" applyBorder="1" applyAlignment="1">
      <alignment horizontal="right"/>
    </xf>
    <xf numFmtId="0" fontId="2" fillId="6" borderId="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14" fontId="0" fillId="10" borderId="26" xfId="0" applyNumberFormat="1" applyFill="1" applyBorder="1"/>
    <xf numFmtId="167" fontId="0" fillId="10" borderId="27" xfId="0" applyNumberFormat="1" applyFill="1" applyBorder="1"/>
    <xf numFmtId="2" fontId="0" fillId="10" borderId="27" xfId="0" quotePrefix="1" applyNumberFormat="1" applyFill="1" applyBorder="1" applyAlignment="1">
      <alignment horizontal="right"/>
    </xf>
    <xf numFmtId="167" fontId="0" fillId="10" borderId="28" xfId="1" applyNumberFormat="1" applyFont="1" applyFill="1" applyBorder="1"/>
    <xf numFmtId="14" fontId="0" fillId="10" borderId="37" xfId="0" applyNumberFormat="1" applyFill="1" applyBorder="1"/>
    <xf numFmtId="167" fontId="0" fillId="10" borderId="38" xfId="0" quotePrefix="1" applyNumberFormat="1" applyFill="1" applyBorder="1" applyAlignment="1">
      <alignment horizontal="right"/>
    </xf>
    <xf numFmtId="165" fontId="0" fillId="10" borderId="38" xfId="2" applyNumberFormat="1" applyFont="1" applyFill="1" applyBorder="1"/>
    <xf numFmtId="167" fontId="0" fillId="10" borderId="38" xfId="0" applyNumberFormat="1" applyFill="1" applyBorder="1" applyAlignment="1">
      <alignment horizontal="right"/>
    </xf>
    <xf numFmtId="167" fontId="0" fillId="10" borderId="39" xfId="0" applyNumberFormat="1" applyFill="1" applyBorder="1"/>
    <xf numFmtId="167" fontId="0" fillId="10" borderId="38" xfId="0" applyNumberFormat="1" applyFill="1" applyBorder="1"/>
    <xf numFmtId="167" fontId="0" fillId="10" borderId="39" xfId="0" quotePrefix="1" applyNumberFormat="1" applyFill="1" applyBorder="1" applyAlignment="1">
      <alignment horizontal="right"/>
    </xf>
    <xf numFmtId="167" fontId="0" fillId="10" borderId="27" xfId="0" quotePrefix="1" applyNumberFormat="1" applyFill="1" applyBorder="1" applyAlignment="1">
      <alignment horizontal="right"/>
    </xf>
    <xf numFmtId="0" fontId="2" fillId="6" borderId="2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0" fillId="8" borderId="40" xfId="0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2" fillId="9" borderId="40" xfId="0" applyFont="1" applyFill="1" applyBorder="1" applyAlignment="1">
      <alignment horizontal="center" vertical="center" wrapText="1"/>
    </xf>
    <xf numFmtId="49" fontId="0" fillId="9" borderId="40" xfId="0" applyNumberForma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2" fillId="11" borderId="61" xfId="0" applyFont="1" applyFill="1" applyBorder="1" applyAlignment="1">
      <alignment horizontal="center" vertical="center" wrapText="1"/>
    </xf>
    <xf numFmtId="0" fontId="2" fillId="11" borderId="62" xfId="0" applyFont="1" applyFill="1" applyBorder="1" applyAlignment="1">
      <alignment horizontal="center" vertical="center" wrapText="1"/>
    </xf>
    <xf numFmtId="0" fontId="2" fillId="11" borderId="63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6" borderId="60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9" borderId="75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2" fillId="5" borderId="64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53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6" fillId="11" borderId="59" xfId="0" applyFont="1" applyFill="1" applyBorder="1" applyAlignment="1">
      <alignment horizontal="center" vertical="center" wrapText="1"/>
    </xf>
    <xf numFmtId="0" fontId="6" fillId="11" borderId="60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right" vertical="center" wrapText="1"/>
    </xf>
    <xf numFmtId="0" fontId="2" fillId="6" borderId="46" xfId="0" applyFont="1" applyFill="1" applyBorder="1" applyAlignment="1">
      <alignment horizontal="right" vertical="center" wrapText="1"/>
    </xf>
    <xf numFmtId="9" fontId="0" fillId="7" borderId="43" xfId="0" applyNumberFormat="1" applyFill="1" applyBorder="1" applyAlignment="1">
      <alignment horizontal="right" vertical="center"/>
    </xf>
    <xf numFmtId="9" fontId="0" fillId="7" borderId="44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14" fontId="3" fillId="6" borderId="29" xfId="0" applyNumberFormat="1" applyFont="1" applyFill="1" applyBorder="1" applyAlignment="1">
      <alignment horizontal="center"/>
    </xf>
    <xf numFmtId="167" fontId="0" fillId="6" borderId="30" xfId="0" applyNumberFormat="1" applyFill="1" applyBorder="1"/>
    <xf numFmtId="10" fontId="0" fillId="6" borderId="30" xfId="2" applyNumberFormat="1" applyFont="1" applyFill="1" applyBorder="1"/>
    <xf numFmtId="0" fontId="0" fillId="6" borderId="31" xfId="0" applyFill="1" applyBorder="1"/>
    <xf numFmtId="0" fontId="2" fillId="9" borderId="10" xfId="0" applyFont="1" applyFill="1" applyBorder="1" applyAlignment="1">
      <alignment horizontal="center" vertical="center" wrapText="1"/>
    </xf>
    <xf numFmtId="0" fontId="2" fillId="9" borderId="78" xfId="0" applyFont="1" applyFill="1" applyBorder="1" applyAlignment="1">
      <alignment horizontal="center" vertical="center" wrapText="1"/>
    </xf>
    <xf numFmtId="0" fontId="2" fillId="9" borderId="57" xfId="0" applyFont="1" applyFill="1" applyBorder="1" applyAlignment="1">
      <alignment horizontal="center" vertical="center" wrapText="1"/>
    </xf>
    <xf numFmtId="14" fontId="3" fillId="6" borderId="79" xfId="0" applyNumberFormat="1" applyFont="1" applyFill="1" applyBorder="1" applyAlignment="1">
      <alignment horizontal="center"/>
    </xf>
    <xf numFmtId="167" fontId="0" fillId="6" borderId="80" xfId="0" applyNumberFormat="1" applyFill="1" applyBorder="1"/>
    <xf numFmtId="0" fontId="0" fillId="6" borderId="80" xfId="0" applyFill="1" applyBorder="1"/>
    <xf numFmtId="167" fontId="0" fillId="6" borderId="81" xfId="0" applyNumberFormat="1" applyFill="1" applyBorder="1"/>
    <xf numFmtId="0" fontId="4" fillId="10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36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14" fontId="3" fillId="9" borderId="30" xfId="0" applyNumberFormat="1" applyFont="1" applyFill="1" applyBorder="1" applyAlignment="1">
      <alignment horizontal="center" vertical="center"/>
    </xf>
    <xf numFmtId="167" fontId="0" fillId="9" borderId="30" xfId="0" applyNumberFormat="1" applyFont="1" applyFill="1" applyBorder="1" applyAlignment="1">
      <alignment horizontal="right" vertical="center"/>
    </xf>
    <xf numFmtId="10" fontId="2" fillId="9" borderId="30" xfId="2" applyNumberFormat="1" applyFont="1" applyFill="1" applyBorder="1" applyAlignment="1">
      <alignment horizontal="right" vertical="center"/>
    </xf>
    <xf numFmtId="167" fontId="0" fillId="9" borderId="30" xfId="0" applyNumberFormat="1" applyFill="1" applyBorder="1" applyAlignment="1">
      <alignment horizontal="right" vertical="center"/>
    </xf>
    <xf numFmtId="167" fontId="0" fillId="9" borderId="31" xfId="0" applyNumberFormat="1" applyFill="1" applyBorder="1" applyAlignment="1">
      <alignment horizontal="right" vertical="center"/>
    </xf>
    <xf numFmtId="0" fontId="9" fillId="3" borderId="36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12" fontId="0" fillId="3" borderId="16" xfId="0" applyNumberFormat="1" applyFill="1" applyBorder="1" applyAlignment="1">
      <alignment horizontal="center"/>
    </xf>
    <xf numFmtId="12" fontId="0" fillId="3" borderId="18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84B4B-44E0-4486-A199-5D9AAF6A6598}">
  <dimension ref="A2:Q207"/>
  <sheetViews>
    <sheetView tabSelected="1" topLeftCell="A73" workbookViewId="0">
      <selection activeCell="H41" sqref="H41"/>
    </sheetView>
  </sheetViews>
  <sheetFormatPr defaultRowHeight="14.4" x14ac:dyDescent="0.3"/>
  <cols>
    <col min="1" max="1" width="10.5546875" style="13" customWidth="1"/>
    <col min="2" max="2" width="16.44140625" style="34" customWidth="1"/>
    <col min="3" max="3" width="15.21875" customWidth="1"/>
    <col min="4" max="4" width="15" customWidth="1"/>
    <col min="5" max="5" width="18.21875" customWidth="1"/>
    <col min="6" max="6" width="18.6640625" customWidth="1"/>
    <col min="7" max="8" width="18.5546875" customWidth="1"/>
    <col min="9" max="9" width="11.33203125" style="10" bestFit="1" customWidth="1"/>
    <col min="10" max="12" width="8.88671875" style="10"/>
    <col min="13" max="14" width="10.109375" style="10" bestFit="1" customWidth="1"/>
    <col min="15" max="15" width="12.6640625" style="10" customWidth="1"/>
    <col min="16" max="16" width="8.88671875" style="10"/>
    <col min="17" max="17" width="10.109375" bestFit="1" customWidth="1"/>
    <col min="18" max="18" width="10.21875" bestFit="1" customWidth="1"/>
    <col min="19" max="19" width="12" bestFit="1" customWidth="1"/>
  </cols>
  <sheetData>
    <row r="2" spans="1:16" ht="15" thickBot="1" x14ac:dyDescent="0.35">
      <c r="A2" s="12"/>
    </row>
    <row r="3" spans="1:16" s="19" customFormat="1" ht="15.6" thickTop="1" thickBot="1" x14ac:dyDescent="0.35">
      <c r="A3" s="255" t="s">
        <v>2</v>
      </c>
      <c r="B3" s="35" t="s">
        <v>18</v>
      </c>
      <c r="C3" s="15" t="s">
        <v>37</v>
      </c>
      <c r="D3" s="16" t="s">
        <v>9</v>
      </c>
      <c r="E3" s="73" t="s">
        <v>8</v>
      </c>
      <c r="F3" s="74" t="s">
        <v>38</v>
      </c>
      <c r="G3" s="290" t="s">
        <v>13</v>
      </c>
      <c r="H3" s="286"/>
      <c r="I3" s="286"/>
      <c r="J3" s="286"/>
      <c r="K3" s="286"/>
      <c r="L3" s="286"/>
      <c r="M3" s="286"/>
      <c r="N3" s="286"/>
      <c r="O3" s="287"/>
    </row>
    <row r="4" spans="1:16" s="19" customFormat="1" ht="20.399999999999999" customHeight="1" thickTop="1" thickBot="1" x14ac:dyDescent="0.35">
      <c r="A4" s="257"/>
      <c r="B4" s="42" t="s">
        <v>0</v>
      </c>
      <c r="C4" s="45">
        <v>1000</v>
      </c>
      <c r="D4" s="20">
        <v>1</v>
      </c>
      <c r="E4" s="31">
        <v>0.13</v>
      </c>
      <c r="F4" s="75">
        <f>C4*E4/D4</f>
        <v>130</v>
      </c>
      <c r="G4" s="303" t="s">
        <v>35</v>
      </c>
      <c r="H4" s="304"/>
      <c r="I4" s="304"/>
      <c r="J4" s="304"/>
      <c r="K4" s="304"/>
      <c r="L4" s="304"/>
      <c r="M4" s="304"/>
      <c r="N4" s="304"/>
      <c r="O4" s="305"/>
    </row>
    <row r="5" spans="1:16" s="19" customFormat="1" ht="15" thickTop="1" x14ac:dyDescent="0.3">
      <c r="A5" s="21"/>
      <c r="B5" s="34"/>
      <c r="G5" s="18"/>
    </row>
    <row r="6" spans="1:16" s="19" customFormat="1" x14ac:dyDescent="0.3">
      <c r="A6" s="21"/>
      <c r="B6" s="34"/>
      <c r="G6" s="18"/>
    </row>
    <row r="7" spans="1:16" s="19" customFormat="1" ht="15" thickBot="1" x14ac:dyDescent="0.35">
      <c r="A7" s="21"/>
      <c r="B7" s="34"/>
      <c r="G7" s="18"/>
    </row>
    <row r="8" spans="1:16" s="19" customFormat="1" ht="16.2" customHeight="1" thickTop="1" thickBot="1" x14ac:dyDescent="0.35">
      <c r="A8" s="288" t="s">
        <v>3</v>
      </c>
      <c r="B8" s="35" t="s">
        <v>18</v>
      </c>
      <c r="C8" s="17" t="s">
        <v>39</v>
      </c>
      <c r="D8" s="16" t="s">
        <v>9</v>
      </c>
      <c r="E8" s="73" t="s">
        <v>40</v>
      </c>
      <c r="F8" s="74" t="s">
        <v>38</v>
      </c>
      <c r="G8" s="290" t="s">
        <v>13</v>
      </c>
      <c r="H8" s="286"/>
      <c r="I8" s="286"/>
      <c r="J8" s="286"/>
      <c r="K8" s="286"/>
      <c r="L8" s="286"/>
      <c r="M8" s="286"/>
      <c r="N8" s="286"/>
      <c r="O8" s="287"/>
    </row>
    <row r="9" spans="1:16" s="19" customFormat="1" ht="21" customHeight="1" thickTop="1" thickBot="1" x14ac:dyDescent="0.35">
      <c r="A9" s="289"/>
      <c r="B9" s="44" t="s">
        <v>59</v>
      </c>
      <c r="C9" s="43">
        <v>600</v>
      </c>
      <c r="D9" s="22">
        <v>1.2</v>
      </c>
      <c r="E9" s="76">
        <v>0.2</v>
      </c>
      <c r="F9" s="75">
        <f>C9*E9/D9</f>
        <v>100</v>
      </c>
      <c r="G9" s="300" t="s">
        <v>7</v>
      </c>
      <c r="H9" s="301"/>
      <c r="I9" s="301"/>
      <c r="J9" s="301"/>
      <c r="K9" s="301"/>
      <c r="L9" s="301"/>
      <c r="M9" s="301"/>
      <c r="N9" s="301"/>
      <c r="O9" s="302"/>
    </row>
    <row r="10" spans="1:16" ht="15" thickTop="1" x14ac:dyDescent="0.3"/>
    <row r="12" spans="1:16" ht="15" thickBot="1" x14ac:dyDescent="0.35"/>
    <row r="13" spans="1:16" s="19" customFormat="1" ht="45.6" customHeight="1" thickTop="1" thickBot="1" x14ac:dyDescent="0.35">
      <c r="A13" s="255" t="s">
        <v>4</v>
      </c>
      <c r="B13" s="33" t="s">
        <v>18</v>
      </c>
      <c r="C13" s="25" t="s">
        <v>41</v>
      </c>
      <c r="D13" s="23" t="s">
        <v>42</v>
      </c>
      <c r="E13" s="23" t="s">
        <v>50</v>
      </c>
      <c r="F13" s="23" t="s">
        <v>45</v>
      </c>
      <c r="G13" s="32" t="s">
        <v>50</v>
      </c>
      <c r="H13" s="291" t="s">
        <v>54</v>
      </c>
      <c r="I13" s="290" t="s">
        <v>13</v>
      </c>
      <c r="J13" s="286"/>
      <c r="K13" s="286"/>
      <c r="L13" s="286"/>
      <c r="M13" s="286"/>
      <c r="N13" s="286"/>
      <c r="O13" s="287"/>
    </row>
    <row r="14" spans="1:16" ht="19.2" customHeight="1" thickTop="1" thickBot="1" x14ac:dyDescent="0.35">
      <c r="A14" s="256"/>
      <c r="B14" s="258" t="s">
        <v>1</v>
      </c>
      <c r="C14" s="24">
        <v>1000</v>
      </c>
      <c r="D14" s="3">
        <f>1%</f>
        <v>0.01</v>
      </c>
      <c r="E14" s="27" t="s">
        <v>49</v>
      </c>
      <c r="F14" s="3">
        <v>0.02</v>
      </c>
      <c r="G14" s="28" t="s">
        <v>49</v>
      </c>
      <c r="H14" s="292"/>
      <c r="I14" s="182" t="s">
        <v>143</v>
      </c>
      <c r="J14" s="183"/>
      <c r="K14" s="183"/>
      <c r="L14" s="183"/>
      <c r="M14" s="183"/>
      <c r="N14" s="183"/>
      <c r="O14" s="184"/>
      <c r="P14"/>
    </row>
    <row r="15" spans="1:16" ht="43.2" customHeight="1" thickTop="1" thickBot="1" x14ac:dyDescent="0.35">
      <c r="A15" s="256"/>
      <c r="B15" s="259"/>
      <c r="C15" s="26" t="s">
        <v>43</v>
      </c>
      <c r="D15" s="25" t="s">
        <v>44</v>
      </c>
      <c r="E15" s="25" t="s">
        <v>47</v>
      </c>
      <c r="F15" s="25" t="s">
        <v>46</v>
      </c>
      <c r="G15" s="29" t="s">
        <v>51</v>
      </c>
      <c r="H15" s="293" t="s">
        <v>53</v>
      </c>
      <c r="I15" s="185"/>
      <c r="J15" s="186"/>
      <c r="K15" s="186"/>
      <c r="L15" s="186"/>
      <c r="M15" s="186"/>
      <c r="N15" s="186"/>
      <c r="O15" s="187"/>
      <c r="P15"/>
    </row>
    <row r="16" spans="1:16" ht="18" customHeight="1" thickTop="1" thickBot="1" x14ac:dyDescent="0.35">
      <c r="A16" s="257"/>
      <c r="B16" s="260"/>
      <c r="C16" s="30">
        <v>1</v>
      </c>
      <c r="D16" s="2">
        <v>0.99</v>
      </c>
      <c r="E16" s="20" t="s">
        <v>48</v>
      </c>
      <c r="F16" s="2">
        <v>0.98</v>
      </c>
      <c r="G16" s="31" t="s">
        <v>52</v>
      </c>
      <c r="H16" s="294"/>
      <c r="I16" s="188"/>
      <c r="J16" s="189"/>
      <c r="K16" s="189"/>
      <c r="L16" s="189"/>
      <c r="M16" s="189"/>
      <c r="N16" s="189"/>
      <c r="O16" s="190"/>
      <c r="P16"/>
    </row>
    <row r="17" spans="1:16" ht="15" thickTop="1" x14ac:dyDescent="0.3"/>
    <row r="19" spans="1:16" ht="15" thickBot="1" x14ac:dyDescent="0.35"/>
    <row r="20" spans="1:16" s="19" customFormat="1" ht="43.8" customHeight="1" thickTop="1" thickBot="1" x14ac:dyDescent="0.35">
      <c r="A20" s="284" t="s">
        <v>5</v>
      </c>
      <c r="B20" s="36" t="s">
        <v>18</v>
      </c>
      <c r="C20" s="25" t="s">
        <v>55</v>
      </c>
      <c r="D20" s="25" t="s">
        <v>56</v>
      </c>
      <c r="E20" s="29" t="s">
        <v>57</v>
      </c>
      <c r="F20" s="78" t="s">
        <v>58</v>
      </c>
      <c r="G20" s="286" t="s">
        <v>13</v>
      </c>
      <c r="H20" s="286"/>
      <c r="I20" s="286"/>
      <c r="J20" s="286"/>
      <c r="K20" s="286"/>
      <c r="L20" s="286"/>
      <c r="M20" s="286"/>
      <c r="N20" s="286"/>
      <c r="O20" s="287"/>
    </row>
    <row r="21" spans="1:16" ht="33" customHeight="1" thickTop="1" thickBot="1" x14ac:dyDescent="0.35">
      <c r="A21" s="285"/>
      <c r="B21" s="41" t="s">
        <v>6</v>
      </c>
      <c r="C21" s="60">
        <v>87000</v>
      </c>
      <c r="D21" s="61">
        <f>100%-13%</f>
        <v>0.87</v>
      </c>
      <c r="E21" s="77">
        <v>1</v>
      </c>
      <c r="F21" s="79">
        <f>C21*E21/D21</f>
        <v>100000</v>
      </c>
      <c r="G21" s="298" t="s">
        <v>36</v>
      </c>
      <c r="H21" s="298"/>
      <c r="I21" s="298"/>
      <c r="J21" s="298"/>
      <c r="K21" s="298"/>
      <c r="L21" s="298"/>
      <c r="M21" s="298"/>
      <c r="N21" s="298"/>
      <c r="O21" s="299"/>
      <c r="P21"/>
    </row>
    <row r="22" spans="1:16" ht="15" thickTop="1" x14ac:dyDescent="0.3"/>
    <row r="24" spans="1:16" ht="15" thickBot="1" x14ac:dyDescent="0.35"/>
    <row r="25" spans="1:16" ht="31.8" customHeight="1" thickTop="1" thickBot="1" x14ac:dyDescent="0.35">
      <c r="A25" s="255" t="s">
        <v>10</v>
      </c>
      <c r="B25" s="56" t="s">
        <v>18</v>
      </c>
      <c r="C25" s="59" t="s">
        <v>60</v>
      </c>
      <c r="D25" s="58" t="s">
        <v>61</v>
      </c>
      <c r="E25" s="80" t="s">
        <v>15</v>
      </c>
      <c r="F25" s="78" t="s">
        <v>72</v>
      </c>
      <c r="G25" s="78" t="s">
        <v>70</v>
      </c>
      <c r="H25" s="221" t="s">
        <v>13</v>
      </c>
      <c r="I25" s="222"/>
      <c r="J25" s="222"/>
      <c r="K25" s="222"/>
      <c r="L25" s="222"/>
      <c r="M25" s="222"/>
      <c r="N25" s="222"/>
      <c r="O25" s="223"/>
    </row>
    <row r="26" spans="1:16" ht="30" customHeight="1" thickTop="1" thickBot="1" x14ac:dyDescent="0.35">
      <c r="A26" s="257"/>
      <c r="B26" s="42" t="s">
        <v>12</v>
      </c>
      <c r="C26" s="62">
        <v>10000</v>
      </c>
      <c r="D26" s="63">
        <v>0.2</v>
      </c>
      <c r="E26" s="81">
        <f>1+D26/100%</f>
        <v>1.2</v>
      </c>
      <c r="F26" s="82" t="s">
        <v>71</v>
      </c>
      <c r="G26" s="79">
        <f>C26*E26</f>
        <v>12000</v>
      </c>
      <c r="H26" s="295" t="s">
        <v>34</v>
      </c>
      <c r="I26" s="296"/>
      <c r="J26" s="296"/>
      <c r="K26" s="296"/>
      <c r="L26" s="296"/>
      <c r="M26" s="296"/>
      <c r="N26" s="296"/>
      <c r="O26" s="297"/>
    </row>
    <row r="27" spans="1:16" ht="15" thickTop="1" x14ac:dyDescent="0.3"/>
    <row r="29" spans="1:16" ht="15" thickBot="1" x14ac:dyDescent="0.35"/>
    <row r="30" spans="1:16" ht="44.4" thickTop="1" thickBot="1" x14ac:dyDescent="0.35">
      <c r="A30" s="229" t="s">
        <v>11</v>
      </c>
      <c r="B30" s="56" t="s">
        <v>18</v>
      </c>
      <c r="C30" s="57" t="s">
        <v>62</v>
      </c>
      <c r="D30" s="58" t="s">
        <v>74</v>
      </c>
      <c r="E30" s="83" t="s">
        <v>75</v>
      </c>
      <c r="F30" s="87" t="s">
        <v>66</v>
      </c>
      <c r="G30" s="87" t="s">
        <v>77</v>
      </c>
      <c r="H30" s="221" t="s">
        <v>13</v>
      </c>
      <c r="I30" s="222"/>
      <c r="J30" s="222"/>
      <c r="K30" s="222"/>
      <c r="L30" s="222"/>
      <c r="M30" s="222"/>
      <c r="N30" s="222"/>
      <c r="O30" s="223"/>
    </row>
    <row r="31" spans="1:16" ht="15" customHeight="1" thickTop="1" thickBot="1" x14ac:dyDescent="0.35">
      <c r="A31" s="229"/>
      <c r="B31" s="224" t="s">
        <v>88</v>
      </c>
      <c r="C31" s="64">
        <v>100000</v>
      </c>
      <c r="D31" s="65">
        <v>-0.4</v>
      </c>
      <c r="E31" s="84">
        <v>0.4</v>
      </c>
      <c r="F31" s="88" t="s">
        <v>67</v>
      </c>
      <c r="G31" s="89" t="s">
        <v>68</v>
      </c>
      <c r="H31" s="230" t="s">
        <v>87</v>
      </c>
      <c r="I31" s="231"/>
      <c r="J31" s="231"/>
      <c r="K31" s="231"/>
      <c r="L31" s="231"/>
      <c r="M31" s="231"/>
      <c r="N31" s="231"/>
      <c r="O31" s="232"/>
    </row>
    <row r="32" spans="1:16" ht="45.6" customHeight="1" thickTop="1" thickBot="1" x14ac:dyDescent="0.35">
      <c r="A32" s="229"/>
      <c r="B32" s="224"/>
      <c r="C32" s="57" t="s">
        <v>65</v>
      </c>
      <c r="D32" s="58" t="s">
        <v>63</v>
      </c>
      <c r="E32" s="80" t="s">
        <v>64</v>
      </c>
      <c r="F32" s="90" t="s">
        <v>69</v>
      </c>
      <c r="G32" s="90" t="s">
        <v>89</v>
      </c>
      <c r="H32" s="233"/>
      <c r="I32" s="234"/>
      <c r="J32" s="234"/>
      <c r="K32" s="234"/>
      <c r="L32" s="234"/>
      <c r="M32" s="234"/>
      <c r="N32" s="234"/>
      <c r="O32" s="235"/>
    </row>
    <row r="33" spans="1:17" ht="15.6" thickTop="1" thickBot="1" x14ac:dyDescent="0.35">
      <c r="A33" s="229"/>
      <c r="B33" s="224"/>
      <c r="C33" s="66">
        <v>60000</v>
      </c>
      <c r="D33" s="67">
        <f>1+D31/100%</f>
        <v>0.6</v>
      </c>
      <c r="E33" s="85">
        <f>1+E31/100%</f>
        <v>1.4</v>
      </c>
      <c r="F33" s="91" t="s">
        <v>147</v>
      </c>
      <c r="G33" s="92">
        <f>C31*D33*E33</f>
        <v>84000</v>
      </c>
      <c r="H33" s="236"/>
      <c r="I33" s="237"/>
      <c r="J33" s="237"/>
      <c r="K33" s="237"/>
      <c r="L33" s="237"/>
      <c r="M33" s="237"/>
      <c r="N33" s="237"/>
      <c r="O33" s="238"/>
    </row>
    <row r="34" spans="1:17" ht="15" thickTop="1" x14ac:dyDescent="0.3">
      <c r="G34" s="10"/>
      <c r="H34" s="10"/>
      <c r="O34"/>
      <c r="P34"/>
    </row>
    <row r="35" spans="1:17" x14ac:dyDescent="0.3">
      <c r="G35" s="10"/>
      <c r="H35" s="10"/>
      <c r="O35"/>
      <c r="P35"/>
    </row>
    <row r="36" spans="1:17" ht="15" thickBot="1" x14ac:dyDescent="0.35">
      <c r="G36" s="10"/>
      <c r="H36" s="10"/>
      <c r="O36"/>
      <c r="P36"/>
    </row>
    <row r="37" spans="1:17" ht="58.8" thickTop="1" thickBot="1" x14ac:dyDescent="0.35">
      <c r="A37" s="225" t="s">
        <v>14</v>
      </c>
      <c r="B37" s="56" t="s">
        <v>18</v>
      </c>
      <c r="C37" s="57" t="s">
        <v>62</v>
      </c>
      <c r="D37" s="58" t="s">
        <v>74</v>
      </c>
      <c r="E37" s="83" t="s">
        <v>76</v>
      </c>
      <c r="F37" s="227" t="s">
        <v>66</v>
      </c>
      <c r="G37" s="227"/>
      <c r="H37" s="221" t="s">
        <v>13</v>
      </c>
      <c r="I37" s="222"/>
      <c r="J37" s="222"/>
      <c r="K37" s="222"/>
      <c r="L37" s="222"/>
      <c r="M37" s="222"/>
      <c r="N37" s="222"/>
      <c r="O37" s="223"/>
    </row>
    <row r="38" spans="1:17" ht="18" customHeight="1" thickTop="1" thickBot="1" x14ac:dyDescent="0.35">
      <c r="A38" s="225"/>
      <c r="B38" s="226" t="s">
        <v>73</v>
      </c>
      <c r="C38" s="37">
        <v>100000</v>
      </c>
      <c r="D38" s="38">
        <v>-0.4</v>
      </c>
      <c r="E38" s="86">
        <v>0.66666666666666696</v>
      </c>
      <c r="F38" s="228" t="s">
        <v>105</v>
      </c>
      <c r="G38" s="228"/>
      <c r="H38" s="182" t="s">
        <v>165</v>
      </c>
      <c r="I38" s="183"/>
      <c r="J38" s="183"/>
      <c r="K38" s="183"/>
      <c r="L38" s="183"/>
      <c r="M38" s="183"/>
      <c r="N38" s="183"/>
      <c r="O38" s="184"/>
    </row>
    <row r="39" spans="1:17" ht="55.8" customHeight="1" thickTop="1" thickBot="1" x14ac:dyDescent="0.35">
      <c r="A39" s="225"/>
      <c r="B39" s="226"/>
      <c r="C39" s="57" t="s">
        <v>65</v>
      </c>
      <c r="D39" s="58" t="s">
        <v>63</v>
      </c>
      <c r="E39" s="80" t="s">
        <v>64</v>
      </c>
      <c r="F39" s="90" t="s">
        <v>69</v>
      </c>
      <c r="G39" s="90" t="s">
        <v>90</v>
      </c>
      <c r="H39" s="185"/>
      <c r="I39" s="186"/>
      <c r="J39" s="186"/>
      <c r="K39" s="186"/>
      <c r="L39" s="186"/>
      <c r="M39" s="186"/>
      <c r="N39" s="186"/>
      <c r="O39" s="187"/>
    </row>
    <row r="40" spans="1:17" ht="17.399999999999999" customHeight="1" thickTop="1" thickBot="1" x14ac:dyDescent="0.35">
      <c r="A40" s="225"/>
      <c r="B40" s="226"/>
      <c r="C40" s="39">
        <v>60000</v>
      </c>
      <c r="D40" s="344">
        <f>1+D38/100%</f>
        <v>0.6</v>
      </c>
      <c r="E40" s="345">
        <f>1+E38/100%</f>
        <v>1.666666666666667</v>
      </c>
      <c r="F40" s="93" t="s">
        <v>78</v>
      </c>
      <c r="G40" s="94">
        <v>66.6666666666667</v>
      </c>
      <c r="H40" s="188"/>
      <c r="I40" s="189"/>
      <c r="J40" s="189"/>
      <c r="K40" s="189"/>
      <c r="L40" s="189"/>
      <c r="M40" s="189"/>
      <c r="N40" s="189"/>
      <c r="O40" s="190"/>
    </row>
    <row r="41" spans="1:17" ht="15" thickTop="1" x14ac:dyDescent="0.3">
      <c r="D41" s="346" t="s">
        <v>86</v>
      </c>
      <c r="E41" s="346" t="s">
        <v>86</v>
      </c>
      <c r="G41" s="346" t="s">
        <v>86</v>
      </c>
      <c r="H41" s="10"/>
      <c r="O41"/>
      <c r="P41"/>
    </row>
    <row r="42" spans="1:17" x14ac:dyDescent="0.3">
      <c r="F42" s="40"/>
    </row>
    <row r="43" spans="1:17" ht="15" thickBot="1" x14ac:dyDescent="0.35">
      <c r="A43" s="55" t="s">
        <v>85</v>
      </c>
      <c r="B43" s="13"/>
      <c r="C43" s="34"/>
      <c r="I43"/>
      <c r="Q43" s="10"/>
    </row>
    <row r="44" spans="1:17" ht="60" customHeight="1" thickTop="1" thickBot="1" x14ac:dyDescent="0.35">
      <c r="A44" s="255" t="s">
        <v>14</v>
      </c>
      <c r="B44" s="68" t="s">
        <v>18</v>
      </c>
      <c r="C44" s="69" t="s">
        <v>80</v>
      </c>
      <c r="D44" s="70" t="s">
        <v>81</v>
      </c>
      <c r="E44" s="70" t="s">
        <v>82</v>
      </c>
      <c r="F44" s="95" t="s">
        <v>83</v>
      </c>
      <c r="G44" s="90" t="s">
        <v>92</v>
      </c>
      <c r="H44" s="239" t="s">
        <v>84</v>
      </c>
      <c r="I44" s="240"/>
      <c r="J44" s="240"/>
      <c r="K44" s="240"/>
      <c r="L44" s="240"/>
      <c r="M44" s="240"/>
      <c r="N44" s="240"/>
      <c r="O44" s="241"/>
    </row>
    <row r="45" spans="1:17" s="34" customFormat="1" ht="31.8" customHeight="1" thickTop="1" thickBot="1" x14ac:dyDescent="0.35">
      <c r="A45" s="256"/>
      <c r="B45" s="258" t="s">
        <v>73</v>
      </c>
      <c r="C45" s="46">
        <v>0.6</v>
      </c>
      <c r="D45" s="47">
        <f>C45-1</f>
        <v>-0.4</v>
      </c>
      <c r="E45" s="48">
        <f>1/C45</f>
        <v>1.6666666666666667</v>
      </c>
      <c r="F45" s="96">
        <f>+E45-1</f>
        <v>0.66666666666666674</v>
      </c>
      <c r="G45" s="99" t="s">
        <v>91</v>
      </c>
      <c r="H45" s="242" t="s">
        <v>79</v>
      </c>
      <c r="I45" s="243"/>
      <c r="J45" s="243"/>
      <c r="K45" s="243"/>
      <c r="L45" s="243"/>
      <c r="M45" s="243"/>
      <c r="N45" s="243"/>
      <c r="O45" s="244"/>
    </row>
    <row r="46" spans="1:17" ht="29.4" customHeight="1" x14ac:dyDescent="0.3">
      <c r="A46" s="256"/>
      <c r="B46" s="259"/>
      <c r="C46" s="53">
        <v>0.6</v>
      </c>
      <c r="D46" s="49"/>
      <c r="E46" s="52">
        <f>1/C46</f>
        <v>1.6666666666666667</v>
      </c>
      <c r="F46" s="97"/>
      <c r="G46" s="100">
        <v>66.6666666666666</v>
      </c>
      <c r="H46" s="267" t="s">
        <v>144</v>
      </c>
      <c r="I46" s="268"/>
      <c r="J46" s="268"/>
      <c r="K46" s="268"/>
      <c r="L46" s="268"/>
      <c r="M46" s="268"/>
      <c r="N46" s="268"/>
      <c r="O46" s="269"/>
    </row>
    <row r="47" spans="1:17" ht="15" thickBot="1" x14ac:dyDescent="0.35">
      <c r="A47" s="257"/>
      <c r="B47" s="260"/>
      <c r="C47" s="54" t="s">
        <v>86</v>
      </c>
      <c r="D47" s="50"/>
      <c r="E47" s="51" t="s">
        <v>86</v>
      </c>
      <c r="F47" s="98"/>
      <c r="G47" s="101" t="s">
        <v>86</v>
      </c>
      <c r="H47" s="270"/>
      <c r="I47" s="271"/>
      <c r="J47" s="271"/>
      <c r="K47" s="271"/>
      <c r="L47" s="271"/>
      <c r="M47" s="271"/>
      <c r="N47" s="271"/>
      <c r="O47" s="272"/>
    </row>
    <row r="48" spans="1:17" ht="15" thickTop="1" x14ac:dyDescent="0.3">
      <c r="F48" s="40"/>
    </row>
    <row r="49" spans="1:16" x14ac:dyDescent="0.3">
      <c r="F49" s="40"/>
    </row>
    <row r="50" spans="1:16" ht="15" thickBot="1" x14ac:dyDescent="0.35">
      <c r="F50" s="40"/>
    </row>
    <row r="51" spans="1:16" s="34" customFormat="1" ht="72" customHeight="1" thickTop="1" thickBot="1" x14ac:dyDescent="0.35">
      <c r="A51" s="264" t="s">
        <v>16</v>
      </c>
      <c r="B51" s="56" t="s">
        <v>18</v>
      </c>
      <c r="C51" s="104" t="s">
        <v>94</v>
      </c>
      <c r="D51" s="105" t="s">
        <v>95</v>
      </c>
      <c r="E51" s="105" t="s">
        <v>101</v>
      </c>
      <c r="F51" s="106" t="s">
        <v>83</v>
      </c>
      <c r="G51" s="306" t="s">
        <v>104</v>
      </c>
      <c r="H51" s="307"/>
      <c r="I51" s="221" t="s">
        <v>13</v>
      </c>
      <c r="J51" s="222"/>
      <c r="K51" s="222"/>
      <c r="L51" s="222"/>
      <c r="M51" s="222"/>
      <c r="N51" s="222"/>
      <c r="O51" s="223"/>
    </row>
    <row r="52" spans="1:16" s="34" customFormat="1" ht="25.2" customHeight="1" thickTop="1" thickBot="1" x14ac:dyDescent="0.35">
      <c r="A52" s="265"/>
      <c r="B52" s="261" t="s">
        <v>94</v>
      </c>
      <c r="C52" s="107">
        <v>15</v>
      </c>
      <c r="D52" s="72">
        <f>(C52-1)*100%</f>
        <v>14</v>
      </c>
      <c r="E52" s="71">
        <f>1/C52</f>
        <v>6.6666666666666666E-2</v>
      </c>
      <c r="F52" s="108">
        <f>(1/C52-1)*100%</f>
        <v>-0.93333333333333335</v>
      </c>
      <c r="G52" s="308"/>
      <c r="H52" s="309"/>
      <c r="I52" s="273" t="s">
        <v>93</v>
      </c>
      <c r="J52" s="274"/>
      <c r="K52" s="274"/>
      <c r="L52" s="274"/>
      <c r="M52" s="274"/>
      <c r="N52" s="274"/>
      <c r="O52" s="275"/>
    </row>
    <row r="53" spans="1:16" s="34" customFormat="1" ht="73.8" customHeight="1" thickBot="1" x14ac:dyDescent="0.35">
      <c r="A53" s="265"/>
      <c r="B53" s="262"/>
      <c r="C53" s="282" t="s">
        <v>106</v>
      </c>
      <c r="D53" s="70" t="s">
        <v>99</v>
      </c>
      <c r="E53" s="70" t="s">
        <v>98</v>
      </c>
      <c r="F53" s="109" t="s">
        <v>102</v>
      </c>
      <c r="G53" s="102" t="s">
        <v>99</v>
      </c>
      <c r="H53" s="102" t="s">
        <v>103</v>
      </c>
      <c r="I53" s="276"/>
      <c r="J53" s="277"/>
      <c r="K53" s="277"/>
      <c r="L53" s="277"/>
      <c r="M53" s="277"/>
      <c r="N53" s="277"/>
      <c r="O53" s="278"/>
    </row>
    <row r="54" spans="1:16" s="34" customFormat="1" ht="21" customHeight="1" thickTop="1" thickBot="1" x14ac:dyDescent="0.35">
      <c r="A54" s="266"/>
      <c r="B54" s="263"/>
      <c r="C54" s="283"/>
      <c r="D54" s="130" t="s">
        <v>96</v>
      </c>
      <c r="E54" s="131" t="s">
        <v>97</v>
      </c>
      <c r="F54" s="132" t="s">
        <v>100</v>
      </c>
      <c r="G54" s="103" t="s">
        <v>96</v>
      </c>
      <c r="H54" s="103" t="s">
        <v>100</v>
      </c>
      <c r="I54" s="279"/>
      <c r="J54" s="280"/>
      <c r="K54" s="280"/>
      <c r="L54" s="280"/>
      <c r="M54" s="280"/>
      <c r="N54" s="280"/>
      <c r="O54" s="281"/>
    </row>
    <row r="55" spans="1:16" x14ac:dyDescent="0.3">
      <c r="F55" s="40"/>
    </row>
    <row r="56" spans="1:16" x14ac:dyDescent="0.3">
      <c r="F56" s="40"/>
    </row>
    <row r="57" spans="1:16" ht="15" thickBot="1" x14ac:dyDescent="0.35">
      <c r="F57" s="40"/>
      <c r="P57"/>
    </row>
    <row r="58" spans="1:16" ht="54" customHeight="1" thickTop="1" thickBot="1" x14ac:dyDescent="0.35">
      <c r="A58" s="209" t="s">
        <v>17</v>
      </c>
      <c r="B58" s="212" t="s">
        <v>23</v>
      </c>
      <c r="C58" s="111" t="s">
        <v>19</v>
      </c>
      <c r="D58" s="112" t="s">
        <v>113</v>
      </c>
      <c r="E58" s="113" t="s">
        <v>107</v>
      </c>
      <c r="F58" s="112" t="s">
        <v>114</v>
      </c>
      <c r="G58" s="113" t="s">
        <v>108</v>
      </c>
      <c r="H58" s="112" t="s">
        <v>112</v>
      </c>
      <c r="I58" s="206" t="s">
        <v>13</v>
      </c>
      <c r="J58" s="207"/>
      <c r="K58" s="207"/>
      <c r="L58" s="207"/>
      <c r="M58" s="207"/>
      <c r="N58" s="207"/>
      <c r="O58" s="208"/>
      <c r="P58"/>
    </row>
    <row r="59" spans="1:16" ht="22.2" customHeight="1" thickTop="1" thickBot="1" x14ac:dyDescent="0.35">
      <c r="A59" s="210"/>
      <c r="B59" s="213"/>
      <c r="C59" s="114">
        <v>100000</v>
      </c>
      <c r="D59" s="115">
        <f>E59/C59-1</f>
        <v>1.1200000000000001</v>
      </c>
      <c r="E59" s="114">
        <f>C59+C59*112%</f>
        <v>212000</v>
      </c>
      <c r="F59" s="115">
        <f>G59/E59-1</f>
        <v>1.1200000000000001</v>
      </c>
      <c r="G59" s="114">
        <f>E59+E59*112%</f>
        <v>449440</v>
      </c>
      <c r="H59" s="116">
        <f>(G59/C59-1)*100%</f>
        <v>3.4943999999999997</v>
      </c>
      <c r="I59" s="182" t="s">
        <v>164</v>
      </c>
      <c r="J59" s="183"/>
      <c r="K59" s="183"/>
      <c r="L59" s="183"/>
      <c r="M59" s="183"/>
      <c r="N59" s="183"/>
      <c r="O59" s="184"/>
      <c r="P59"/>
    </row>
    <row r="60" spans="1:16" ht="85.2" customHeight="1" thickTop="1" thickBot="1" x14ac:dyDescent="0.35">
      <c r="A60" s="210"/>
      <c r="B60" s="245" t="s">
        <v>22</v>
      </c>
      <c r="C60" s="123" t="s">
        <v>109</v>
      </c>
      <c r="D60" s="124" t="s">
        <v>116</v>
      </c>
      <c r="E60" s="124" t="s">
        <v>110</v>
      </c>
      <c r="F60" s="124" t="s">
        <v>111</v>
      </c>
      <c r="G60" s="124" t="s">
        <v>117</v>
      </c>
      <c r="H60" s="125" t="s">
        <v>118</v>
      </c>
      <c r="I60" s="185"/>
      <c r="J60" s="186"/>
      <c r="K60" s="186"/>
      <c r="L60" s="186"/>
      <c r="M60" s="186"/>
      <c r="N60" s="186"/>
      <c r="O60" s="187"/>
      <c r="P60"/>
    </row>
    <row r="61" spans="1:16" ht="18" customHeight="1" thickTop="1" thickBot="1" x14ac:dyDescent="0.35">
      <c r="A61" s="210"/>
      <c r="B61" s="246"/>
      <c r="C61" s="118">
        <v>2.2400000000000002</v>
      </c>
      <c r="D61" s="119">
        <f>(1+C61/100%)</f>
        <v>3.24</v>
      </c>
      <c r="E61" s="120">
        <v>2</v>
      </c>
      <c r="F61" s="121" t="s">
        <v>115</v>
      </c>
      <c r="G61" s="121" t="s">
        <v>115</v>
      </c>
      <c r="H61" s="122">
        <f>(3.24-1)*100%</f>
        <v>2.2400000000000002</v>
      </c>
      <c r="I61" s="188"/>
      <c r="J61" s="189"/>
      <c r="K61" s="189"/>
      <c r="L61" s="189"/>
      <c r="M61" s="189"/>
      <c r="N61" s="189"/>
      <c r="O61" s="190"/>
      <c r="P61"/>
    </row>
    <row r="62" spans="1:16" ht="68.400000000000006" customHeight="1" thickTop="1" thickBot="1" x14ac:dyDescent="0.35">
      <c r="A62" s="210"/>
      <c r="B62" s="247"/>
      <c r="C62" s="123" t="s">
        <v>122</v>
      </c>
      <c r="D62" s="124" t="s">
        <v>107</v>
      </c>
      <c r="E62" s="124" t="s">
        <v>108</v>
      </c>
      <c r="F62" s="124" t="s">
        <v>119</v>
      </c>
      <c r="G62" s="124" t="s">
        <v>120</v>
      </c>
      <c r="H62" s="125" t="s">
        <v>121</v>
      </c>
      <c r="I62" s="200" t="s">
        <v>145</v>
      </c>
      <c r="J62" s="201"/>
      <c r="K62" s="201"/>
      <c r="L62" s="201"/>
      <c r="M62" s="201"/>
      <c r="N62" s="201"/>
      <c r="O62" s="202"/>
      <c r="P62"/>
    </row>
    <row r="63" spans="1:16" ht="37.799999999999997" customHeight="1" thickTop="1" thickBot="1" x14ac:dyDescent="0.35">
      <c r="A63" s="211"/>
      <c r="B63" s="248"/>
      <c r="C63" s="126">
        <v>100000</v>
      </c>
      <c r="D63" s="127">
        <f>C63+C63*80%</f>
        <v>180000</v>
      </c>
      <c r="E63" s="127">
        <f>D63+D63*80%</f>
        <v>324000</v>
      </c>
      <c r="F63" s="128">
        <f>D61^(1/E61)-1</f>
        <v>0.8</v>
      </c>
      <c r="G63" s="128">
        <f>D61^(1/E61)-1</f>
        <v>0.8</v>
      </c>
      <c r="H63" s="129">
        <f>C63+C63*(3.24^(1/2)-1)+D63*(3.24^(1/2)-1)</f>
        <v>324000</v>
      </c>
      <c r="I63" s="203"/>
      <c r="J63" s="204"/>
      <c r="K63" s="204"/>
      <c r="L63" s="204"/>
      <c r="M63" s="204"/>
      <c r="N63" s="204"/>
      <c r="O63" s="205"/>
      <c r="P63"/>
    </row>
    <row r="64" spans="1:16" ht="15" thickTop="1" x14ac:dyDescent="0.3">
      <c r="A64" s="14"/>
      <c r="C64" s="110"/>
      <c r="E64" s="110"/>
      <c r="F64" s="110"/>
      <c r="G64" s="110"/>
      <c r="P64"/>
    </row>
    <row r="65" spans="1:16" x14ac:dyDescent="0.3">
      <c r="A65" s="14"/>
      <c r="C65" s="117"/>
      <c r="E65" s="117"/>
      <c r="F65" s="117"/>
      <c r="G65" s="117"/>
      <c r="P65"/>
    </row>
    <row r="66" spans="1:16" ht="15" thickBot="1" x14ac:dyDescent="0.35">
      <c r="A66" s="14"/>
      <c r="C66" s="11"/>
      <c r="E66" s="11"/>
      <c r="F66" s="11"/>
      <c r="G66" s="11"/>
    </row>
    <row r="67" spans="1:16" ht="64.8" customHeight="1" thickTop="1" thickBot="1" x14ac:dyDescent="0.35">
      <c r="A67" s="209" t="s">
        <v>21</v>
      </c>
      <c r="B67" s="212" t="s">
        <v>138</v>
      </c>
      <c r="C67" s="111" t="s">
        <v>128</v>
      </c>
      <c r="D67" s="112" t="s">
        <v>123</v>
      </c>
      <c r="E67" s="113" t="s">
        <v>124</v>
      </c>
      <c r="F67" s="112" t="s">
        <v>125</v>
      </c>
      <c r="G67" s="113" t="s">
        <v>126</v>
      </c>
      <c r="H67" s="112" t="s">
        <v>127</v>
      </c>
      <c r="I67" s="206" t="s">
        <v>13</v>
      </c>
      <c r="J67" s="207"/>
      <c r="K67" s="207"/>
      <c r="L67" s="207"/>
      <c r="M67" s="207"/>
      <c r="N67" s="207"/>
      <c r="O67" s="208"/>
      <c r="P67"/>
    </row>
    <row r="68" spans="1:16" ht="22.2" customHeight="1" thickTop="1" thickBot="1" x14ac:dyDescent="0.35">
      <c r="A68" s="210"/>
      <c r="B68" s="213"/>
      <c r="C68" s="114">
        <v>100000</v>
      </c>
      <c r="D68" s="115">
        <f>E68/C68-1</f>
        <v>1.1200000000000001</v>
      </c>
      <c r="E68" s="114">
        <f>C68+C68*112%</f>
        <v>212000</v>
      </c>
      <c r="F68" s="115">
        <f>G68/E68-1</f>
        <v>1.1200000000000001</v>
      </c>
      <c r="G68" s="114">
        <f>E68+E68*112%</f>
        <v>449440</v>
      </c>
      <c r="H68" s="116">
        <f>(G68/C68-1)*100%</f>
        <v>3.4943999999999997</v>
      </c>
      <c r="I68" s="182" t="s">
        <v>142</v>
      </c>
      <c r="J68" s="183"/>
      <c r="K68" s="183"/>
      <c r="L68" s="183"/>
      <c r="M68" s="183"/>
      <c r="N68" s="183"/>
      <c r="O68" s="184"/>
      <c r="P68"/>
    </row>
    <row r="69" spans="1:16" ht="85.2" customHeight="1" thickTop="1" thickBot="1" x14ac:dyDescent="0.35">
      <c r="A69" s="210"/>
      <c r="B69" s="245" t="s">
        <v>139</v>
      </c>
      <c r="C69" s="123" t="s">
        <v>129</v>
      </c>
      <c r="D69" s="124" t="s">
        <v>116</v>
      </c>
      <c r="E69" s="124" t="s">
        <v>130</v>
      </c>
      <c r="F69" s="124" t="s">
        <v>131</v>
      </c>
      <c r="G69" s="124" t="s">
        <v>132</v>
      </c>
      <c r="H69" s="125" t="s">
        <v>133</v>
      </c>
      <c r="I69" s="185"/>
      <c r="J69" s="186"/>
      <c r="K69" s="186"/>
      <c r="L69" s="186"/>
      <c r="M69" s="186"/>
      <c r="N69" s="186"/>
      <c r="O69" s="187"/>
      <c r="P69"/>
    </row>
    <row r="70" spans="1:16" ht="18" customHeight="1" thickTop="1" thickBot="1" x14ac:dyDescent="0.35">
      <c r="A70" s="210"/>
      <c r="B70" s="246"/>
      <c r="C70" s="118">
        <v>2.2400000000000002</v>
      </c>
      <c r="D70" s="119">
        <f>(1+C70/100%)</f>
        <v>3.24</v>
      </c>
      <c r="E70" s="120">
        <v>2</v>
      </c>
      <c r="F70" s="121" t="s">
        <v>115</v>
      </c>
      <c r="G70" s="121" t="s">
        <v>115</v>
      </c>
      <c r="H70" s="122">
        <f>(3.24-1)*100%</f>
        <v>2.2400000000000002</v>
      </c>
      <c r="I70" s="188"/>
      <c r="J70" s="189"/>
      <c r="K70" s="189"/>
      <c r="L70" s="189"/>
      <c r="M70" s="189"/>
      <c r="N70" s="189"/>
      <c r="O70" s="190"/>
      <c r="P70"/>
    </row>
    <row r="71" spans="1:16" ht="73.8" customHeight="1" thickTop="1" thickBot="1" x14ac:dyDescent="0.35">
      <c r="A71" s="210"/>
      <c r="B71" s="247"/>
      <c r="C71" s="123" t="s">
        <v>128</v>
      </c>
      <c r="D71" s="124" t="s">
        <v>135</v>
      </c>
      <c r="E71" s="124" t="s">
        <v>136</v>
      </c>
      <c r="F71" s="124" t="s">
        <v>137</v>
      </c>
      <c r="G71" s="124" t="s">
        <v>141</v>
      </c>
      <c r="H71" s="125" t="s">
        <v>140</v>
      </c>
      <c r="I71" s="200" t="s">
        <v>146</v>
      </c>
      <c r="J71" s="201"/>
      <c r="K71" s="201"/>
      <c r="L71" s="201"/>
      <c r="M71" s="201"/>
      <c r="N71" s="201"/>
      <c r="O71" s="202"/>
      <c r="P71"/>
    </row>
    <row r="72" spans="1:16" ht="37.799999999999997" customHeight="1" thickTop="1" thickBot="1" x14ac:dyDescent="0.35">
      <c r="A72" s="211"/>
      <c r="B72" s="248"/>
      <c r="C72" s="126">
        <v>100000</v>
      </c>
      <c r="D72" s="127">
        <f>C72+C72*80%</f>
        <v>180000</v>
      </c>
      <c r="E72" s="127">
        <f>D72+D72*80%</f>
        <v>324000</v>
      </c>
      <c r="F72" s="128">
        <f>D70^(1/E70)-1</f>
        <v>0.8</v>
      </c>
      <c r="G72" s="128">
        <f>D70^(1/E70)-1</f>
        <v>0.8</v>
      </c>
      <c r="H72" s="129">
        <f>C72+C72*(3.24^(1/2)-1)+D72*(3.24^(1/2)-1)</f>
        <v>324000</v>
      </c>
      <c r="I72" s="203"/>
      <c r="J72" s="204"/>
      <c r="K72" s="204"/>
      <c r="L72" s="204"/>
      <c r="M72" s="204"/>
      <c r="N72" s="204"/>
      <c r="O72" s="205"/>
      <c r="P72"/>
    </row>
    <row r="73" spans="1:16" ht="15" thickTop="1" x14ac:dyDescent="0.3">
      <c r="A73" s="14"/>
      <c r="C73" s="11"/>
      <c r="E73" s="11"/>
      <c r="F73" s="11"/>
      <c r="G73" s="11"/>
    </row>
    <row r="74" spans="1:16" x14ac:dyDescent="0.3">
      <c r="A74" s="14"/>
      <c r="C74" s="11"/>
      <c r="E74" s="11"/>
      <c r="F74" s="11"/>
      <c r="G74" s="11"/>
    </row>
    <row r="75" spans="1:16" ht="15" thickBot="1" x14ac:dyDescent="0.35">
      <c r="A75" s="14"/>
      <c r="C75" s="11"/>
      <c r="D75" s="11"/>
      <c r="E75" s="11"/>
      <c r="F75" s="11"/>
      <c r="G75" s="11"/>
    </row>
    <row r="76" spans="1:16" ht="43.2" customHeight="1" thickTop="1" thickBot="1" x14ac:dyDescent="0.35">
      <c r="A76" s="249" t="s">
        <v>33</v>
      </c>
      <c r="B76" s="214" t="s">
        <v>29</v>
      </c>
      <c r="C76" s="123" t="s">
        <v>20</v>
      </c>
      <c r="D76" s="124" t="s">
        <v>149</v>
      </c>
      <c r="E76" s="124" t="s">
        <v>32</v>
      </c>
      <c r="F76" s="124" t="s">
        <v>24</v>
      </c>
      <c r="G76" s="124" t="s">
        <v>25</v>
      </c>
      <c r="H76" s="125" t="s">
        <v>26</v>
      </c>
      <c r="I76" s="206" t="s">
        <v>13</v>
      </c>
      <c r="J76" s="207"/>
      <c r="K76" s="207"/>
      <c r="L76" s="207"/>
      <c r="M76" s="207"/>
      <c r="N76" s="207"/>
      <c r="O76" s="208"/>
    </row>
    <row r="77" spans="1:16" ht="15" customHeight="1" thickTop="1" x14ac:dyDescent="0.3">
      <c r="A77" s="250"/>
      <c r="B77" s="215"/>
      <c r="C77" s="142">
        <v>35064</v>
      </c>
      <c r="D77" s="143">
        <f>-H77</f>
        <v>-10000000</v>
      </c>
      <c r="E77" s="143"/>
      <c r="F77" s="144" t="str">
        <f>"0,00 ₽"</f>
        <v>0,00 ₽</v>
      </c>
      <c r="G77" s="144" t="s">
        <v>27</v>
      </c>
      <c r="H77" s="145">
        <v>10000000</v>
      </c>
      <c r="I77" s="182" t="s">
        <v>31</v>
      </c>
      <c r="J77" s="183"/>
      <c r="K77" s="183"/>
      <c r="L77" s="183"/>
      <c r="M77" s="183"/>
      <c r="N77" s="183"/>
      <c r="O77" s="184"/>
    </row>
    <row r="78" spans="1:16" x14ac:dyDescent="0.3">
      <c r="A78" s="250"/>
      <c r="B78" s="215"/>
      <c r="C78" s="146">
        <f>C77+366</f>
        <v>35430</v>
      </c>
      <c r="D78" s="147">
        <f>H77+F78</f>
        <v>32400000.000000004</v>
      </c>
      <c r="E78" s="148">
        <v>2.2400000000000002</v>
      </c>
      <c r="F78" s="147">
        <f>H77*E78</f>
        <v>22400000.000000004</v>
      </c>
      <c r="G78" s="147">
        <f>H77</f>
        <v>10000000</v>
      </c>
      <c r="H78" s="149" t="s">
        <v>27</v>
      </c>
      <c r="I78" s="185"/>
      <c r="J78" s="186"/>
      <c r="K78" s="186"/>
      <c r="L78" s="186"/>
      <c r="M78" s="186"/>
      <c r="N78" s="186"/>
      <c r="O78" s="187"/>
    </row>
    <row r="79" spans="1:16" ht="15" thickBot="1" x14ac:dyDescent="0.35">
      <c r="A79" s="250"/>
      <c r="B79" s="216"/>
      <c r="C79" s="150" t="s">
        <v>28</v>
      </c>
      <c r="D79" s="151">
        <f>D78</f>
        <v>32400000.000000004</v>
      </c>
      <c r="E79" s="150"/>
      <c r="F79" s="151">
        <f>SUM(F77:F78)</f>
        <v>22400000.000000004</v>
      </c>
      <c r="G79" s="151">
        <f>SUM(G77:G78)</f>
        <v>10000000</v>
      </c>
      <c r="H79" s="152">
        <f>SUM(G78)</f>
        <v>10000000</v>
      </c>
      <c r="I79" s="185"/>
      <c r="J79" s="186"/>
      <c r="K79" s="186"/>
      <c r="L79" s="186"/>
      <c r="M79" s="186"/>
      <c r="N79" s="186"/>
      <c r="O79" s="187"/>
    </row>
    <row r="80" spans="1:16" ht="41.4" customHeight="1" thickTop="1" thickBot="1" x14ac:dyDescent="0.35">
      <c r="A80" s="250"/>
      <c r="B80" s="252" t="s">
        <v>30</v>
      </c>
      <c r="C80" s="139" t="s">
        <v>20</v>
      </c>
      <c r="D80" s="140" t="s">
        <v>154</v>
      </c>
      <c r="E80" s="140" t="s">
        <v>150</v>
      </c>
      <c r="F80" s="140" t="s">
        <v>151</v>
      </c>
      <c r="G80" s="140" t="s">
        <v>152</v>
      </c>
      <c r="H80" s="141" t="s">
        <v>153</v>
      </c>
      <c r="I80" s="188"/>
      <c r="J80" s="189"/>
      <c r="K80" s="189"/>
      <c r="L80" s="189"/>
      <c r="M80" s="189"/>
      <c r="N80" s="189"/>
      <c r="O80" s="190"/>
    </row>
    <row r="81" spans="1:16" ht="15" customHeight="1" thickTop="1" x14ac:dyDescent="0.3">
      <c r="A81" s="250"/>
      <c r="B81" s="253"/>
      <c r="C81" s="137">
        <v>35064</v>
      </c>
      <c r="D81" s="156">
        <f>-H81</f>
        <v>-10000000</v>
      </c>
      <c r="E81" s="138"/>
      <c r="F81" s="158" t="str">
        <f>"0,00 ₽"</f>
        <v>0,00 ₽</v>
      </c>
      <c r="G81" s="158" t="str">
        <f>"0,00 ₽"</f>
        <v>0,00 ₽</v>
      </c>
      <c r="H81" s="160">
        <v>10000000</v>
      </c>
      <c r="I81" s="191" t="s">
        <v>157</v>
      </c>
      <c r="J81" s="192"/>
      <c r="K81" s="192"/>
      <c r="L81" s="192"/>
      <c r="M81" s="192"/>
      <c r="N81" s="192"/>
      <c r="O81" s="193"/>
    </row>
    <row r="82" spans="1:16" ht="15" customHeight="1" x14ac:dyDescent="0.3">
      <c r="A82" s="250"/>
      <c r="B82" s="253"/>
      <c r="C82" s="133">
        <f>C81+183</f>
        <v>35247</v>
      </c>
      <c r="D82" s="154">
        <f>H81+F82</f>
        <v>21200000</v>
      </c>
      <c r="E82" s="134">
        <f>224%*(C82-C81)/366</f>
        <v>1.1200000000000001</v>
      </c>
      <c r="F82" s="153">
        <f>H81*E82</f>
        <v>11200000.000000002</v>
      </c>
      <c r="G82" s="153">
        <f>D82-F82</f>
        <v>9999999.9999999981</v>
      </c>
      <c r="H82" s="162" t="str">
        <f>"0,00 ₽"</f>
        <v>0,00 ₽</v>
      </c>
      <c r="I82" s="194"/>
      <c r="J82" s="195"/>
      <c r="K82" s="195"/>
      <c r="L82" s="195"/>
      <c r="M82" s="195"/>
      <c r="N82" s="195"/>
      <c r="O82" s="196"/>
    </row>
    <row r="83" spans="1:16" ht="15" thickBot="1" x14ac:dyDescent="0.35">
      <c r="A83" s="250"/>
      <c r="B83" s="254"/>
      <c r="C83" s="135" t="s">
        <v>28</v>
      </c>
      <c r="D83" s="155">
        <f>SUM(D82:D82)</f>
        <v>21200000</v>
      </c>
      <c r="E83" s="136"/>
      <c r="F83" s="159">
        <f>SUM(F81:F82)</f>
        <v>11200000.000000002</v>
      </c>
      <c r="G83" s="159">
        <f>SUM(G81:G82)</f>
        <v>9999999.9999999981</v>
      </c>
      <c r="H83" s="163" t="str">
        <f>"0,00 ₽"</f>
        <v>0,00 ₽</v>
      </c>
      <c r="I83" s="194"/>
      <c r="J83" s="195"/>
      <c r="K83" s="195"/>
      <c r="L83" s="195"/>
      <c r="M83" s="195"/>
      <c r="N83" s="195"/>
      <c r="O83" s="196"/>
    </row>
    <row r="84" spans="1:16" ht="13.2" customHeight="1" thickTop="1" x14ac:dyDescent="0.3">
      <c r="A84" s="250"/>
      <c r="B84" s="217" t="s">
        <v>156</v>
      </c>
      <c r="C84" s="217"/>
      <c r="D84" s="217"/>
      <c r="E84" s="217"/>
      <c r="F84" s="217"/>
      <c r="G84" s="217"/>
      <c r="H84" s="218"/>
      <c r="I84" s="194" t="s">
        <v>158</v>
      </c>
      <c r="J84" s="195"/>
      <c r="K84" s="195"/>
      <c r="L84" s="195"/>
      <c r="M84" s="195"/>
      <c r="N84" s="195"/>
      <c r="O84" s="196"/>
    </row>
    <row r="85" spans="1:16" ht="58.8" customHeight="1" thickBot="1" x14ac:dyDescent="0.35">
      <c r="A85" s="251"/>
      <c r="B85" s="219"/>
      <c r="C85" s="219"/>
      <c r="D85" s="219"/>
      <c r="E85" s="219"/>
      <c r="F85" s="219"/>
      <c r="G85" s="219"/>
      <c r="H85" s="220"/>
      <c r="I85" s="197"/>
      <c r="J85" s="198"/>
      <c r="K85" s="198"/>
      <c r="L85" s="198"/>
      <c r="M85" s="198"/>
      <c r="N85" s="198"/>
      <c r="O85" s="199"/>
    </row>
    <row r="86" spans="1:16" ht="15" thickTop="1" x14ac:dyDescent="0.3">
      <c r="A86" s="14"/>
      <c r="B86" s="5"/>
      <c r="C86" s="6"/>
      <c r="D86" s="4"/>
      <c r="F86" s="4"/>
      <c r="G86" s="4"/>
      <c r="I86" s="8"/>
      <c r="J86" s="8"/>
      <c r="K86" s="8"/>
      <c r="L86" s="8"/>
      <c r="M86" s="8"/>
      <c r="N86" s="8"/>
      <c r="O86" s="8"/>
      <c r="P86" s="8"/>
    </row>
    <row r="87" spans="1:16" x14ac:dyDescent="0.3">
      <c r="A87" s="14"/>
      <c r="B87" s="5"/>
      <c r="C87" s="6"/>
      <c r="D87" s="4"/>
      <c r="F87" s="4"/>
      <c r="G87" s="4"/>
      <c r="I87" s="9"/>
      <c r="J87" s="9"/>
      <c r="K87" s="9"/>
      <c r="L87" s="9"/>
      <c r="M87" s="9"/>
      <c r="N87" s="9"/>
      <c r="O87" s="9"/>
      <c r="P87" s="9"/>
    </row>
    <row r="88" spans="1:16" ht="15" thickBot="1" x14ac:dyDescent="0.35">
      <c r="A88" s="14"/>
      <c r="I88" s="7"/>
      <c r="J88" s="7"/>
      <c r="K88" s="7"/>
      <c r="L88" s="7"/>
      <c r="M88" s="7"/>
      <c r="N88" s="7"/>
      <c r="O88" s="7"/>
      <c r="P88" s="7"/>
    </row>
    <row r="89" spans="1:16" ht="33" customHeight="1" thickTop="1" thickBot="1" x14ac:dyDescent="0.35">
      <c r="A89" s="209" t="s">
        <v>134</v>
      </c>
      <c r="B89" s="314" t="s">
        <v>148</v>
      </c>
      <c r="C89" s="139" t="s">
        <v>20</v>
      </c>
      <c r="D89" s="140" t="s">
        <v>154</v>
      </c>
      <c r="E89" s="140" t="s">
        <v>155</v>
      </c>
      <c r="F89" s="140" t="s">
        <v>24</v>
      </c>
      <c r="G89" s="140" t="s">
        <v>25</v>
      </c>
      <c r="H89" s="141" t="s">
        <v>26</v>
      </c>
      <c r="I89" s="207" t="s">
        <v>13</v>
      </c>
      <c r="J89" s="207"/>
      <c r="K89" s="207"/>
      <c r="L89" s="207"/>
      <c r="M89" s="207"/>
      <c r="N89" s="207"/>
      <c r="O89" s="208"/>
    </row>
    <row r="90" spans="1:16" ht="15" customHeight="1" thickTop="1" x14ac:dyDescent="0.3">
      <c r="A90" s="210"/>
      <c r="B90" s="315"/>
      <c r="C90" s="137">
        <v>35064</v>
      </c>
      <c r="D90" s="157">
        <f>-H90</f>
        <v>-10000000</v>
      </c>
      <c r="E90" s="164">
        <v>0</v>
      </c>
      <c r="F90" s="158" t="str">
        <f>"0,00 ₽"</f>
        <v>0,00 ₽</v>
      </c>
      <c r="G90" s="158" t="str">
        <f>"0,00 ₽"</f>
        <v>0,00 ₽</v>
      </c>
      <c r="H90" s="160">
        <v>10000000</v>
      </c>
      <c r="I90" s="182" t="s">
        <v>163</v>
      </c>
      <c r="J90" s="183"/>
      <c r="K90" s="183"/>
      <c r="L90" s="183"/>
      <c r="M90" s="183"/>
      <c r="N90" s="183"/>
      <c r="O90" s="184"/>
    </row>
    <row r="91" spans="1:16" x14ac:dyDescent="0.3">
      <c r="A91" s="210"/>
      <c r="B91" s="315"/>
      <c r="C91" s="133">
        <f>C90+183</f>
        <v>35247</v>
      </c>
      <c r="D91" s="153">
        <f>F90*C91</f>
        <v>0</v>
      </c>
      <c r="E91" s="134">
        <f>224%*(C91-C90)/366</f>
        <v>1.1200000000000001</v>
      </c>
      <c r="F91" s="153">
        <f>H90*E91</f>
        <v>11200000.000000002</v>
      </c>
      <c r="G91" s="153">
        <f>D91-F91</f>
        <v>-11200000.000000002</v>
      </c>
      <c r="H91" s="161">
        <f>H90-G91</f>
        <v>21200000</v>
      </c>
      <c r="I91" s="185"/>
      <c r="J91" s="186"/>
      <c r="K91" s="186"/>
      <c r="L91" s="186"/>
      <c r="M91" s="186"/>
      <c r="N91" s="186"/>
      <c r="O91" s="187"/>
    </row>
    <row r="92" spans="1:16" x14ac:dyDescent="0.3">
      <c r="A92" s="210"/>
      <c r="B92" s="315"/>
      <c r="C92" s="133">
        <f>C91+183</f>
        <v>35430</v>
      </c>
      <c r="D92" s="153">
        <f>H91+F92</f>
        <v>44944000</v>
      </c>
      <c r="E92" s="134">
        <f>224%*(C92-C91)/366</f>
        <v>1.1200000000000001</v>
      </c>
      <c r="F92" s="153">
        <f>H91*E92</f>
        <v>23744000.000000004</v>
      </c>
      <c r="G92" s="153">
        <f>D92-F92</f>
        <v>21199999.999999996</v>
      </c>
      <c r="H92" s="162" t="str">
        <f>"0,00 ₽"</f>
        <v>0,00 ₽</v>
      </c>
      <c r="I92" s="185"/>
      <c r="J92" s="186"/>
      <c r="K92" s="186"/>
      <c r="L92" s="186"/>
      <c r="M92" s="186"/>
      <c r="N92" s="186"/>
      <c r="O92" s="187"/>
    </row>
    <row r="93" spans="1:16" s="19" customFormat="1" ht="23.4" customHeight="1" thickBot="1" x14ac:dyDescent="0.35">
      <c r="A93" s="210"/>
      <c r="B93" s="316"/>
      <c r="C93" s="330" t="s">
        <v>28</v>
      </c>
      <c r="D93" s="331">
        <f>SUM(D91:D92)</f>
        <v>44944000</v>
      </c>
      <c r="E93" s="332">
        <f>D92/H90-1</f>
        <v>3.4943999999999997</v>
      </c>
      <c r="F93" s="333">
        <f>SUM(F91:F92)</f>
        <v>34944000.000000007</v>
      </c>
      <c r="G93" s="333">
        <f>SUM(G90:G92)</f>
        <v>9999999.9999999944</v>
      </c>
      <c r="H93" s="334"/>
      <c r="I93" s="185"/>
      <c r="J93" s="186"/>
      <c r="K93" s="186"/>
      <c r="L93" s="186"/>
      <c r="M93" s="186"/>
      <c r="N93" s="186"/>
      <c r="O93" s="187"/>
    </row>
    <row r="94" spans="1:16" ht="44.4" customHeight="1" thickTop="1" thickBot="1" x14ac:dyDescent="0.35">
      <c r="A94" s="210"/>
      <c r="B94" s="180" t="s">
        <v>160</v>
      </c>
      <c r="C94" s="165" t="s">
        <v>20</v>
      </c>
      <c r="D94" s="166" t="s">
        <v>149</v>
      </c>
      <c r="E94" s="166" t="s">
        <v>155</v>
      </c>
      <c r="F94" s="166" t="s">
        <v>151</v>
      </c>
      <c r="G94" s="166" t="s">
        <v>152</v>
      </c>
      <c r="H94" s="167" t="s">
        <v>153</v>
      </c>
      <c r="I94" s="337" t="s">
        <v>162</v>
      </c>
      <c r="J94" s="338"/>
      <c r="K94" s="338"/>
      <c r="L94" s="338"/>
      <c r="M94" s="338"/>
      <c r="N94" s="338"/>
      <c r="O94" s="339"/>
    </row>
    <row r="95" spans="1:16" ht="15" thickTop="1" x14ac:dyDescent="0.3">
      <c r="A95" s="210"/>
      <c r="B95" s="181"/>
      <c r="C95" s="168">
        <v>35064</v>
      </c>
      <c r="D95" s="169">
        <f>-H95</f>
        <v>-10000000</v>
      </c>
      <c r="E95" s="170" t="str">
        <f>"0,00 ₽"</f>
        <v>0,00 ₽</v>
      </c>
      <c r="F95" s="170" t="str">
        <f>"0,00 ₽"</f>
        <v>0,00 ₽</v>
      </c>
      <c r="G95" s="170" t="str">
        <f>"0,00 ₽"</f>
        <v>0,00 ₽</v>
      </c>
      <c r="H95" s="171">
        <v>10000000</v>
      </c>
      <c r="I95" s="335"/>
      <c r="J95" s="336"/>
      <c r="K95" s="336"/>
      <c r="L95" s="336"/>
      <c r="M95" s="336"/>
      <c r="N95" s="336"/>
      <c r="O95" s="340"/>
    </row>
    <row r="96" spans="1:16" x14ac:dyDescent="0.3">
      <c r="A96" s="210"/>
      <c r="B96" s="181"/>
      <c r="C96" s="172">
        <f>C95+183</f>
        <v>35247</v>
      </c>
      <c r="D96" s="173" t="str">
        <f>"0,00 ₽"</f>
        <v>0,00 ₽</v>
      </c>
      <c r="E96" s="174">
        <f>((1+224%)^((C96-C95)/366)-1)</f>
        <v>0.8</v>
      </c>
      <c r="F96" s="175">
        <f>H95*E96</f>
        <v>8000000</v>
      </c>
      <c r="G96" s="175">
        <f>-F96</f>
        <v>-8000000</v>
      </c>
      <c r="H96" s="176">
        <f>H95-G96</f>
        <v>18000000</v>
      </c>
      <c r="I96" s="335"/>
      <c r="J96" s="336"/>
      <c r="K96" s="336"/>
      <c r="L96" s="336"/>
      <c r="M96" s="336"/>
      <c r="N96" s="336"/>
      <c r="O96" s="340"/>
    </row>
    <row r="97" spans="1:15" x14ac:dyDescent="0.3">
      <c r="A97" s="210"/>
      <c r="B97" s="181"/>
      <c r="C97" s="172">
        <f>C96+183</f>
        <v>35430</v>
      </c>
      <c r="D97" s="177">
        <f>H96+F97</f>
        <v>32400000</v>
      </c>
      <c r="E97" s="174">
        <f>((1+224%)^((C97-C96)/366)-1)</f>
        <v>0.8</v>
      </c>
      <c r="F97" s="175">
        <f>H96*E97</f>
        <v>14400000</v>
      </c>
      <c r="G97" s="177">
        <f>D97-F97</f>
        <v>18000000</v>
      </c>
      <c r="H97" s="178" t="str">
        <f>"0,00 ₽"</f>
        <v>0,00 ₽</v>
      </c>
      <c r="I97" s="335"/>
      <c r="J97" s="336"/>
      <c r="K97" s="336"/>
      <c r="L97" s="336"/>
      <c r="M97" s="336"/>
      <c r="N97" s="336"/>
      <c r="O97" s="340"/>
    </row>
    <row r="98" spans="1:15" ht="15" thickBot="1" x14ac:dyDescent="0.35">
      <c r="A98" s="210"/>
      <c r="B98" s="181"/>
      <c r="C98" s="310" t="s">
        <v>28</v>
      </c>
      <c r="D98" s="311">
        <f>SUM(D96:D97)</f>
        <v>32400000</v>
      </c>
      <c r="E98" s="312">
        <f>D97/H95-1</f>
        <v>2.2400000000000002</v>
      </c>
      <c r="F98" s="311">
        <f>SUM(F95:F97)</f>
        <v>22400000</v>
      </c>
      <c r="G98" s="311">
        <f>SUM(G95:G97)</f>
        <v>10000000</v>
      </c>
      <c r="H98" s="313"/>
      <c r="I98" s="335"/>
      <c r="J98" s="336"/>
      <c r="K98" s="336"/>
      <c r="L98" s="336"/>
      <c r="M98" s="336"/>
      <c r="N98" s="336"/>
      <c r="O98" s="340"/>
    </row>
    <row r="99" spans="1:15" ht="70.8" customHeight="1" thickTop="1" thickBot="1" x14ac:dyDescent="0.35">
      <c r="A99" s="210"/>
      <c r="B99" s="180" t="s">
        <v>159</v>
      </c>
      <c r="C99" s="123" t="s">
        <v>20</v>
      </c>
      <c r="D99" s="124" t="s">
        <v>149</v>
      </c>
      <c r="E99" s="124" t="s">
        <v>155</v>
      </c>
      <c r="F99" s="124" t="s">
        <v>151</v>
      </c>
      <c r="G99" s="124" t="s">
        <v>152</v>
      </c>
      <c r="H99" s="125" t="s">
        <v>153</v>
      </c>
      <c r="I99" s="335"/>
      <c r="J99" s="336"/>
      <c r="K99" s="336"/>
      <c r="L99" s="336"/>
      <c r="M99" s="336"/>
      <c r="N99" s="336"/>
      <c r="O99" s="340"/>
    </row>
    <row r="100" spans="1:15" ht="15" thickTop="1" x14ac:dyDescent="0.3">
      <c r="A100" s="210"/>
      <c r="B100" s="181"/>
      <c r="C100" s="168">
        <v>35064</v>
      </c>
      <c r="D100" s="169">
        <f>-H100</f>
        <v>-10000000</v>
      </c>
      <c r="E100" s="170" t="str">
        <f>"0,00 ₽"</f>
        <v>0,00 ₽</v>
      </c>
      <c r="F100" s="179" t="str">
        <f>"0,00 ₽"</f>
        <v>0,00 ₽</v>
      </c>
      <c r="G100" s="179" t="str">
        <f>"0,00 ₽"</f>
        <v>0,00 ₽</v>
      </c>
      <c r="H100" s="171">
        <v>10000000</v>
      </c>
      <c r="I100" s="335"/>
      <c r="J100" s="336"/>
      <c r="K100" s="336"/>
      <c r="L100" s="336"/>
      <c r="M100" s="336"/>
      <c r="N100" s="336"/>
      <c r="O100" s="340"/>
    </row>
    <row r="101" spans="1:15" x14ac:dyDescent="0.3">
      <c r="A101" s="210"/>
      <c r="B101" s="181"/>
      <c r="C101" s="172">
        <f>C100+183</f>
        <v>35247</v>
      </c>
      <c r="D101" s="177">
        <f>H100+F101</f>
        <v>18000000</v>
      </c>
      <c r="E101" s="174">
        <f>(1+224%)^((C101-C100)/366)-1</f>
        <v>0.8</v>
      </c>
      <c r="F101" s="177">
        <f>H100*E101</f>
        <v>8000000</v>
      </c>
      <c r="G101" s="177">
        <f>D101-F101</f>
        <v>10000000</v>
      </c>
      <c r="H101" s="178" t="str">
        <f>"0,00 ₽"</f>
        <v>0,00 ₽</v>
      </c>
      <c r="I101" s="335"/>
      <c r="J101" s="336"/>
      <c r="K101" s="336"/>
      <c r="L101" s="336"/>
      <c r="M101" s="336"/>
      <c r="N101" s="336"/>
      <c r="O101" s="340"/>
    </row>
    <row r="102" spans="1:15" ht="15" thickBot="1" x14ac:dyDescent="0.35">
      <c r="A102" s="210"/>
      <c r="B102" s="181"/>
      <c r="C102" s="317" t="s">
        <v>28</v>
      </c>
      <c r="D102" s="318">
        <f>SUM(D101:D101)</f>
        <v>18000000</v>
      </c>
      <c r="E102" s="319"/>
      <c r="F102" s="318">
        <f>SUM(F100:F101)</f>
        <v>8000000</v>
      </c>
      <c r="G102" s="318">
        <f>SUM(G100:G101)</f>
        <v>10000000</v>
      </c>
      <c r="H102" s="320"/>
      <c r="I102" s="335"/>
      <c r="J102" s="336"/>
      <c r="K102" s="336"/>
      <c r="L102" s="336"/>
      <c r="M102" s="336"/>
      <c r="N102" s="336"/>
      <c r="O102" s="340"/>
    </row>
    <row r="103" spans="1:15" ht="15" thickTop="1" x14ac:dyDescent="0.3">
      <c r="A103" s="210"/>
      <c r="B103" s="321" t="s">
        <v>161</v>
      </c>
      <c r="C103" s="322"/>
      <c r="D103" s="322"/>
      <c r="E103" s="322"/>
      <c r="F103" s="322"/>
      <c r="G103" s="322"/>
      <c r="H103" s="323"/>
      <c r="I103" s="335"/>
      <c r="J103" s="336"/>
      <c r="K103" s="336"/>
      <c r="L103" s="336"/>
      <c r="M103" s="336"/>
      <c r="N103" s="336"/>
      <c r="O103" s="340"/>
    </row>
    <row r="104" spans="1:15" ht="21" customHeight="1" x14ac:dyDescent="0.3">
      <c r="A104" s="210"/>
      <c r="B104" s="324"/>
      <c r="C104" s="325"/>
      <c r="D104" s="325"/>
      <c r="E104" s="325"/>
      <c r="F104" s="325"/>
      <c r="G104" s="325"/>
      <c r="H104" s="326"/>
      <c r="I104" s="335"/>
      <c r="J104" s="336"/>
      <c r="K104" s="336"/>
      <c r="L104" s="336"/>
      <c r="M104" s="336"/>
      <c r="N104" s="336"/>
      <c r="O104" s="340"/>
    </row>
    <row r="105" spans="1:15" ht="22.8" customHeight="1" thickBot="1" x14ac:dyDescent="0.35">
      <c r="A105" s="211"/>
      <c r="B105" s="327"/>
      <c r="C105" s="328"/>
      <c r="D105" s="328"/>
      <c r="E105" s="328"/>
      <c r="F105" s="328"/>
      <c r="G105" s="328"/>
      <c r="H105" s="329"/>
      <c r="I105" s="341"/>
      <c r="J105" s="342"/>
      <c r="K105" s="342"/>
      <c r="L105" s="342"/>
      <c r="M105" s="342"/>
      <c r="N105" s="342"/>
      <c r="O105" s="343"/>
    </row>
    <row r="106" spans="1:15" ht="15" thickTop="1" x14ac:dyDescent="0.3"/>
    <row r="108" spans="1:15" x14ac:dyDescent="0.3">
      <c r="G108" s="1"/>
    </row>
    <row r="172" spans="16:16" x14ac:dyDescent="0.3">
      <c r="P172"/>
    </row>
    <row r="173" spans="16:16" x14ac:dyDescent="0.3">
      <c r="P173"/>
    </row>
    <row r="174" spans="16:16" x14ac:dyDescent="0.3">
      <c r="P174"/>
    </row>
    <row r="175" spans="16:16" x14ac:dyDescent="0.3">
      <c r="P175"/>
    </row>
    <row r="176" spans="16:16" x14ac:dyDescent="0.3">
      <c r="P176"/>
    </row>
    <row r="177" spans="16:16" x14ac:dyDescent="0.3">
      <c r="P177"/>
    </row>
    <row r="178" spans="16:16" x14ac:dyDescent="0.3">
      <c r="P178"/>
    </row>
    <row r="179" spans="16:16" x14ac:dyDescent="0.3">
      <c r="P179"/>
    </row>
    <row r="180" spans="16:16" x14ac:dyDescent="0.3">
      <c r="P180"/>
    </row>
    <row r="181" spans="16:16" x14ac:dyDescent="0.3">
      <c r="P181"/>
    </row>
    <row r="182" spans="16:16" x14ac:dyDescent="0.3">
      <c r="P182"/>
    </row>
    <row r="183" spans="16:16" x14ac:dyDescent="0.3">
      <c r="P183"/>
    </row>
    <row r="184" spans="16:16" x14ac:dyDescent="0.3">
      <c r="P184"/>
    </row>
    <row r="185" spans="16:16" x14ac:dyDescent="0.3">
      <c r="P185"/>
    </row>
    <row r="186" spans="16:16" x14ac:dyDescent="0.3">
      <c r="P186"/>
    </row>
    <row r="193" spans="13:15" x14ac:dyDescent="0.3">
      <c r="M193"/>
      <c r="N193"/>
      <c r="O193"/>
    </row>
    <row r="194" spans="13:15" x14ac:dyDescent="0.3">
      <c r="M194"/>
      <c r="N194"/>
      <c r="O194"/>
    </row>
    <row r="195" spans="13:15" x14ac:dyDescent="0.3">
      <c r="M195"/>
      <c r="N195"/>
      <c r="O195"/>
    </row>
    <row r="196" spans="13:15" x14ac:dyDescent="0.3">
      <c r="M196"/>
      <c r="N196"/>
      <c r="O196"/>
    </row>
    <row r="197" spans="13:15" x14ac:dyDescent="0.3">
      <c r="M197"/>
      <c r="N197"/>
      <c r="O197"/>
    </row>
    <row r="198" spans="13:15" x14ac:dyDescent="0.3">
      <c r="M198"/>
      <c r="N198"/>
      <c r="O198"/>
    </row>
    <row r="199" spans="13:15" x14ac:dyDescent="0.3">
      <c r="M199"/>
      <c r="N199"/>
      <c r="O199"/>
    </row>
    <row r="200" spans="13:15" x14ac:dyDescent="0.3">
      <c r="M200"/>
      <c r="N200"/>
      <c r="O200"/>
    </row>
    <row r="201" spans="13:15" x14ac:dyDescent="0.3">
      <c r="M201"/>
      <c r="N201"/>
      <c r="O201"/>
    </row>
    <row r="202" spans="13:15" x14ac:dyDescent="0.3">
      <c r="M202"/>
      <c r="N202"/>
      <c r="O202"/>
    </row>
    <row r="203" spans="13:15" x14ac:dyDescent="0.3">
      <c r="M203"/>
      <c r="N203"/>
      <c r="O203"/>
    </row>
    <row r="204" spans="13:15" x14ac:dyDescent="0.3">
      <c r="M204"/>
      <c r="N204"/>
      <c r="O204"/>
    </row>
    <row r="205" spans="13:15" x14ac:dyDescent="0.3">
      <c r="M205"/>
      <c r="N205"/>
      <c r="O205"/>
    </row>
    <row r="206" spans="13:15" x14ac:dyDescent="0.3">
      <c r="M206"/>
      <c r="N206"/>
      <c r="O206"/>
    </row>
    <row r="207" spans="13:15" x14ac:dyDescent="0.3">
      <c r="M207"/>
      <c r="N207"/>
      <c r="O207"/>
    </row>
  </sheetData>
  <mergeCells count="67">
    <mergeCell ref="A3:A4"/>
    <mergeCell ref="G3:O3"/>
    <mergeCell ref="G8:O8"/>
    <mergeCell ref="G9:O9"/>
    <mergeCell ref="G4:O4"/>
    <mergeCell ref="A20:A21"/>
    <mergeCell ref="A25:A26"/>
    <mergeCell ref="G20:O20"/>
    <mergeCell ref="A8:A9"/>
    <mergeCell ref="A13:A16"/>
    <mergeCell ref="I14:O16"/>
    <mergeCell ref="I13:O13"/>
    <mergeCell ref="H13:H14"/>
    <mergeCell ref="H15:H16"/>
    <mergeCell ref="B14:B16"/>
    <mergeCell ref="H26:O26"/>
    <mergeCell ref="H25:O25"/>
    <mergeCell ref="G21:O21"/>
    <mergeCell ref="H44:O44"/>
    <mergeCell ref="H45:O45"/>
    <mergeCell ref="B60:B63"/>
    <mergeCell ref="I59:O61"/>
    <mergeCell ref="A76:A85"/>
    <mergeCell ref="B80:B83"/>
    <mergeCell ref="A44:A47"/>
    <mergeCell ref="B45:B47"/>
    <mergeCell ref="B52:B54"/>
    <mergeCell ref="A51:A54"/>
    <mergeCell ref="H46:O47"/>
    <mergeCell ref="I52:O54"/>
    <mergeCell ref="I51:O51"/>
    <mergeCell ref="C53:C54"/>
    <mergeCell ref="G51:H52"/>
    <mergeCell ref="A67:A72"/>
    <mergeCell ref="H30:O30"/>
    <mergeCell ref="B31:B33"/>
    <mergeCell ref="A37:A40"/>
    <mergeCell ref="H37:O37"/>
    <mergeCell ref="B38:B40"/>
    <mergeCell ref="H38:O40"/>
    <mergeCell ref="F37:G37"/>
    <mergeCell ref="F38:G38"/>
    <mergeCell ref="A30:A33"/>
    <mergeCell ref="H31:O33"/>
    <mergeCell ref="B99:B102"/>
    <mergeCell ref="I89:O89"/>
    <mergeCell ref="B76:B79"/>
    <mergeCell ref="B84:H85"/>
    <mergeCell ref="B89:B93"/>
    <mergeCell ref="A89:A105"/>
    <mergeCell ref="I94:O105"/>
    <mergeCell ref="I62:O63"/>
    <mergeCell ref="I58:O58"/>
    <mergeCell ref="A58:A63"/>
    <mergeCell ref="B58:B59"/>
    <mergeCell ref="I76:O76"/>
    <mergeCell ref="B67:B68"/>
    <mergeCell ref="I67:O67"/>
    <mergeCell ref="I68:O70"/>
    <mergeCell ref="B69:B72"/>
    <mergeCell ref="I71:O72"/>
    <mergeCell ref="B94:B98"/>
    <mergeCell ref="B103:H105"/>
    <mergeCell ref="I77:O80"/>
    <mergeCell ref="I81:O83"/>
    <mergeCell ref="I84:O85"/>
    <mergeCell ref="I90:O93"/>
  </mergeCells>
  <pageMargins left="0.7" right="0.7" top="0.75" bottom="0.75" header="0.3" footer="0.3"/>
  <pageSetup paperSize="9" orientation="portrait" verticalDpi="0" r:id="rId1"/>
  <ignoredErrors>
    <ignoredError sqref="G77 H78" numberStoredAsText="1"/>
    <ignoredError sqref="E93 E45 E59 E68 E9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Задачи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2019-11-10T10:24:23Z</dcterms:created>
  <dcterms:modified xsi:type="dcterms:W3CDTF">2019-11-14T23:07:03Z</dcterms:modified>
</cp:coreProperties>
</file>